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320" windowHeight="5835" tabRatio="259" firstSheet="1" activeTab="1"/>
  </bookViews>
  <sheets>
    <sheet name="Zał.1_WPF_bazowy" sheetId="12" r:id="rId1"/>
    <sheet name="WPF_AnalizaWsk_ProjektowanieJST" sheetId="17" r:id="rId2"/>
    <sheet name="definicja" sheetId="8" state="hidden" r:id="rId3"/>
    <sheet name="rysunki" sheetId="14" r:id="rId4"/>
    <sheet name="DaneZrodlowe" sheetId="9" state="hidden" r:id="rId5"/>
    <sheet name="DaneZrodloweDoWsk" sheetId="15" state="hidden" r:id="rId6"/>
  </sheets>
  <definedNames>
    <definedName name="_xlnm._FilterDatabase" localSheetId="0" hidden="1">Zał.1_WPF_bazowy!$A$9:$A$110</definedName>
    <definedName name="_xlnm.Print_Area" localSheetId="1">WPF_AnalizaWsk_ProjektowanieJST!$B$1:$H$107</definedName>
    <definedName name="_xlnm.Print_Area" localSheetId="0">Zał.1_WPF_bazowy!$B$8:$Q$114</definedName>
    <definedName name="_xlnm.Print_Titles" localSheetId="1">WPF_AnalizaWsk_ProjektowanieJST!$B:$D,WPF_AnalizaWsk_ProjektowanieJST!#REF!</definedName>
    <definedName name="_xlnm.Print_Titles" localSheetId="0">Zał.1_WPF_bazowy!$B:$D,Zał.1_WPF_bazowy!$8:$9</definedName>
    <definedName name="Z_9360F695_77C0_4418_82C5_829A762C44E9_.wvu.Cols" localSheetId="1" hidden="1">WPF_AnalizaWsk_ProjektowanieJST!$A:$A,WPF_AnalizaWsk_ProjektowanieJST!$C:$C</definedName>
    <definedName name="Z_9360F695_77C0_4418_82C5_829A762C44E9_.wvu.Cols" localSheetId="0" hidden="1">Zał.1_WPF_bazowy!$A:$A,Zał.1_WPF_bazowy!$C:$C</definedName>
    <definedName name="Z_9360F695_77C0_4418_82C5_829A762C44E9_.wvu.FilterData" localSheetId="1" hidden="1">WPF_AnalizaWsk_ProjektowanieJST!$A$3:$A$103</definedName>
    <definedName name="Z_9360F695_77C0_4418_82C5_829A762C44E9_.wvu.FilterData" localSheetId="0" hidden="1">Zał.1_WPF_bazowy!$A$9:$A$110</definedName>
    <definedName name="Z_9360F695_77C0_4418_82C5_829A762C44E9_.wvu.PrintArea" localSheetId="1" hidden="1">WPF_AnalizaWsk_ProjektowanieJST!$B$3:$H$103</definedName>
    <definedName name="Z_9360F695_77C0_4418_82C5_829A762C44E9_.wvu.PrintArea" localSheetId="0" hidden="1">Zał.1_WPF_bazowy!$B$8:$Q$110</definedName>
    <definedName name="Z_9360F695_77C0_4418_82C5_829A762C44E9_.wvu.PrintTitles" localSheetId="1" hidden="1">WPF_AnalizaWsk_ProjektowanieJST!$B:$D,WPF_AnalizaWsk_ProjektowanieJST!#REF!</definedName>
    <definedName name="Z_9360F695_77C0_4418_82C5_829A762C44E9_.wvu.PrintTitles" localSheetId="0" hidden="1">Zał.1_WPF_bazowy!$B:$D,Zał.1_WPF_bazowy!$8:$9</definedName>
  </definedNames>
  <calcPr calcId="125725"/>
  <customWorkbookViews>
    <customWorkbookView name="wydruk_symulacji_podstawowe_dane" guid="{9360F695-77C0-4418-82C5-829A762C44E9}" maximized="1" windowWidth="1596" windowHeight="685" tabRatio="688" activeSheetId="19"/>
  </customWorkbookViews>
  <fileRecoveryPr autoRecover="0"/>
</workbook>
</file>

<file path=xl/calcChain.xml><?xml version="1.0" encoding="utf-8"?>
<calcChain xmlns="http://schemas.openxmlformats.org/spreadsheetml/2006/main">
  <c r="H97" i="17"/>
  <c r="H82"/>
  <c r="H83"/>
  <c r="H84"/>
  <c r="H85"/>
  <c r="H86"/>
  <c r="H87"/>
  <c r="H81"/>
  <c r="H80"/>
  <c r="H79"/>
  <c r="H78"/>
  <c r="H77"/>
  <c r="H73"/>
  <c r="H72"/>
  <c r="H71"/>
  <c r="H66"/>
  <c r="H65"/>
  <c r="H64"/>
  <c r="H63"/>
  <c r="H60"/>
  <c r="H59"/>
  <c r="H35"/>
  <c r="H28"/>
  <c r="G14"/>
  <c r="H23"/>
  <c r="H22"/>
  <c r="H15"/>
  <c r="H13"/>
  <c r="H12"/>
  <c r="H11"/>
  <c r="H10"/>
  <c r="H9"/>
  <c r="H8"/>
  <c r="H7"/>
  <c r="H6"/>
  <c r="H5"/>
  <c r="H4"/>
  <c r="E31"/>
  <c r="E30"/>
  <c r="F29"/>
  <c r="E20"/>
  <c r="E19"/>
  <c r="E18"/>
  <c r="E17"/>
  <c r="E16"/>
  <c r="E15"/>
  <c r="E14"/>
  <c r="E13"/>
  <c r="E12"/>
  <c r="E11"/>
  <c r="E10"/>
  <c r="E9"/>
  <c r="E8"/>
  <c r="E7"/>
  <c r="E6"/>
  <c r="E5"/>
  <c r="E4"/>
  <c r="E3"/>
  <c r="E24" s="1"/>
  <c r="F3"/>
  <c r="F14"/>
  <c r="F16"/>
  <c r="F17"/>
  <c r="F18"/>
  <c r="F19"/>
  <c r="H19" s="1"/>
  <c r="F20"/>
  <c r="H20" s="1"/>
  <c r="F21"/>
  <c r="F26"/>
  <c r="F27"/>
  <c r="F32"/>
  <c r="F33"/>
  <c r="F37"/>
  <c r="F38"/>
  <c r="F39"/>
  <c r="F40"/>
  <c r="F34" s="1"/>
  <c r="F42"/>
  <c r="F44"/>
  <c r="F82"/>
  <c r="F83"/>
  <c r="F84"/>
  <c r="F85"/>
  <c r="F86"/>
  <c r="F87"/>
  <c r="F90"/>
  <c r="F91"/>
  <c r="F92"/>
  <c r="F93"/>
  <c r="F94"/>
  <c r="F95"/>
  <c r="F98"/>
  <c r="F99"/>
  <c r="F100"/>
  <c r="F101"/>
  <c r="F102"/>
  <c r="F103"/>
  <c r="F105"/>
  <c r="F106"/>
  <c r="F107"/>
  <c r="F25" l="1"/>
  <c r="F36"/>
  <c r="F24"/>
  <c r="F55"/>
  <c r="F54" l="1"/>
  <c r="Q114" i="12"/>
  <c r="Q113"/>
  <c r="Q112"/>
  <c r="Q110"/>
  <c r="Q109"/>
  <c r="Q108"/>
  <c r="Q107"/>
  <c r="Q106"/>
  <c r="Q105"/>
  <c r="Q104"/>
  <c r="Q102"/>
  <c r="Q101"/>
  <c r="Q100"/>
  <c r="Q99"/>
  <c r="Q98"/>
  <c r="Q97"/>
  <c r="Q96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3"/>
  <c r="Q72"/>
  <c r="Q71"/>
  <c r="Q70"/>
  <c r="Q69"/>
  <c r="Q68"/>
  <c r="Q67"/>
  <c r="Q66"/>
  <c r="Q64"/>
  <c r="Q63"/>
  <c r="Q60"/>
  <c r="Q59"/>
  <c r="Q57"/>
  <c r="Q56"/>
  <c r="Q55"/>
  <c r="Q54"/>
  <c r="Q52"/>
  <c r="Q51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P114"/>
  <c r="P113"/>
  <c r="P112"/>
  <c r="P110"/>
  <c r="P109"/>
  <c r="P108"/>
  <c r="P107"/>
  <c r="P106"/>
  <c r="P105"/>
  <c r="P104"/>
  <c r="P102"/>
  <c r="P101"/>
  <c r="P100"/>
  <c r="P99"/>
  <c r="P98"/>
  <c r="P97"/>
  <c r="P96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3"/>
  <c r="P72"/>
  <c r="P71"/>
  <c r="P70"/>
  <c r="P69"/>
  <c r="P68"/>
  <c r="P67"/>
  <c r="P66"/>
  <c r="P64"/>
  <c r="P63"/>
  <c r="P60"/>
  <c r="P59"/>
  <c r="P57"/>
  <c r="P56"/>
  <c r="P55"/>
  <c r="P54"/>
  <c r="P52"/>
  <c r="P51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O114"/>
  <c r="O113"/>
  <c r="O112"/>
  <c r="O110"/>
  <c r="O109"/>
  <c r="O108"/>
  <c r="O107"/>
  <c r="O106"/>
  <c r="O105"/>
  <c r="O104"/>
  <c r="O102"/>
  <c r="O101"/>
  <c r="O100"/>
  <c r="O99"/>
  <c r="O98"/>
  <c r="O97"/>
  <c r="O96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3"/>
  <c r="O72"/>
  <c r="O71"/>
  <c r="O70"/>
  <c r="O69"/>
  <c r="O68"/>
  <c r="O67"/>
  <c r="O66"/>
  <c r="O64"/>
  <c r="O63"/>
  <c r="O60"/>
  <c r="O59"/>
  <c r="O57"/>
  <c r="O56"/>
  <c r="O55"/>
  <c r="O54"/>
  <c r="O52"/>
  <c r="O51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N114"/>
  <c r="N113"/>
  <c r="N112"/>
  <c r="N110"/>
  <c r="N109"/>
  <c r="N108"/>
  <c r="N107"/>
  <c r="N106"/>
  <c r="N105"/>
  <c r="N104"/>
  <c r="N102"/>
  <c r="N101"/>
  <c r="N100"/>
  <c r="N99"/>
  <c r="N98"/>
  <c r="N97"/>
  <c r="N96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3"/>
  <c r="N72"/>
  <c r="N71"/>
  <c r="N70"/>
  <c r="N69"/>
  <c r="N68"/>
  <c r="N67"/>
  <c r="N66"/>
  <c r="N64"/>
  <c r="N63"/>
  <c r="N60"/>
  <c r="N59"/>
  <c r="N57"/>
  <c r="N56"/>
  <c r="N55"/>
  <c r="N54"/>
  <c r="N52"/>
  <c r="N51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M114"/>
  <c r="M113"/>
  <c r="M112"/>
  <c r="M110"/>
  <c r="M109"/>
  <c r="M108"/>
  <c r="M107"/>
  <c r="M106"/>
  <c r="M105"/>
  <c r="M104"/>
  <c r="M102"/>
  <c r="M101"/>
  <c r="M100"/>
  <c r="M99"/>
  <c r="M98"/>
  <c r="M97"/>
  <c r="M96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3"/>
  <c r="M72"/>
  <c r="M71"/>
  <c r="M70"/>
  <c r="M69"/>
  <c r="M68"/>
  <c r="M67"/>
  <c r="M66"/>
  <c r="M64"/>
  <c r="M63"/>
  <c r="M60"/>
  <c r="M59"/>
  <c r="M57"/>
  <c r="M56"/>
  <c r="M55"/>
  <c r="M54"/>
  <c r="M52"/>
  <c r="M51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L114"/>
  <c r="L113"/>
  <c r="L112"/>
  <c r="L110"/>
  <c r="L109"/>
  <c r="L108"/>
  <c r="L107"/>
  <c r="L106"/>
  <c r="L105"/>
  <c r="L104"/>
  <c r="L102"/>
  <c r="L101"/>
  <c r="L100"/>
  <c r="L99"/>
  <c r="L98"/>
  <c r="L97"/>
  <c r="L96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3"/>
  <c r="L72"/>
  <c r="L71"/>
  <c r="L70"/>
  <c r="L69"/>
  <c r="L68"/>
  <c r="L67"/>
  <c r="L66"/>
  <c r="L64"/>
  <c r="L63"/>
  <c r="L60"/>
  <c r="L59"/>
  <c r="L57"/>
  <c r="L56"/>
  <c r="L55"/>
  <c r="L54"/>
  <c r="L52"/>
  <c r="L51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K114"/>
  <c r="K113"/>
  <c r="K112"/>
  <c r="K110"/>
  <c r="K109"/>
  <c r="K108"/>
  <c r="K107"/>
  <c r="K106"/>
  <c r="K105"/>
  <c r="K104"/>
  <c r="K102"/>
  <c r="K101"/>
  <c r="K100"/>
  <c r="K99"/>
  <c r="K98"/>
  <c r="K97"/>
  <c r="K96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3"/>
  <c r="K72"/>
  <c r="K71"/>
  <c r="K70"/>
  <c r="K69"/>
  <c r="K68"/>
  <c r="K67"/>
  <c r="K66"/>
  <c r="K64"/>
  <c r="K63"/>
  <c r="K60"/>
  <c r="K59"/>
  <c r="K57"/>
  <c r="K56"/>
  <c r="K55"/>
  <c r="K54"/>
  <c r="K52"/>
  <c r="K51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J114"/>
  <c r="J113"/>
  <c r="J112"/>
  <c r="J110"/>
  <c r="J109"/>
  <c r="J108"/>
  <c r="J107"/>
  <c r="J106"/>
  <c r="J105"/>
  <c r="J104"/>
  <c r="J102"/>
  <c r="J101"/>
  <c r="J100"/>
  <c r="J99"/>
  <c r="J98"/>
  <c r="J97"/>
  <c r="J96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3"/>
  <c r="J72"/>
  <c r="J71"/>
  <c r="J70"/>
  <c r="J69"/>
  <c r="J68"/>
  <c r="J67"/>
  <c r="J66"/>
  <c r="J64"/>
  <c r="J63"/>
  <c r="J60"/>
  <c r="J59"/>
  <c r="J57"/>
  <c r="J56"/>
  <c r="J55"/>
  <c r="J54"/>
  <c r="J52"/>
  <c r="J51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I114"/>
  <c r="I113"/>
  <c r="I112"/>
  <c r="I110"/>
  <c r="I109"/>
  <c r="I108"/>
  <c r="I107"/>
  <c r="I106"/>
  <c r="I105"/>
  <c r="I104"/>
  <c r="I102"/>
  <c r="I101"/>
  <c r="I100"/>
  <c r="I99"/>
  <c r="I98"/>
  <c r="I97"/>
  <c r="I96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3"/>
  <c r="I72"/>
  <c r="I71"/>
  <c r="I70"/>
  <c r="I69"/>
  <c r="I68"/>
  <c r="I67"/>
  <c r="I66"/>
  <c r="I64"/>
  <c r="I63"/>
  <c r="I60"/>
  <c r="I59"/>
  <c r="I57"/>
  <c r="I56"/>
  <c r="I55"/>
  <c r="I54"/>
  <c r="I52"/>
  <c r="I51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H114"/>
  <c r="H113"/>
  <c r="H112"/>
  <c r="H110"/>
  <c r="H109"/>
  <c r="H108"/>
  <c r="H107"/>
  <c r="H106"/>
  <c r="H105"/>
  <c r="H104"/>
  <c r="H102"/>
  <c r="H101"/>
  <c r="H100"/>
  <c r="H99"/>
  <c r="H98"/>
  <c r="H97"/>
  <c r="H96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3"/>
  <c r="H72"/>
  <c r="H71"/>
  <c r="H70"/>
  <c r="H69"/>
  <c r="H68"/>
  <c r="H67"/>
  <c r="H66"/>
  <c r="H64"/>
  <c r="H63"/>
  <c r="H57"/>
  <c r="H56"/>
  <c r="H55"/>
  <c r="H54"/>
  <c r="H52"/>
  <c r="H51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G114"/>
  <c r="G113"/>
  <c r="G112"/>
  <c r="G110"/>
  <c r="G109"/>
  <c r="G108"/>
  <c r="G107"/>
  <c r="G106"/>
  <c r="G105"/>
  <c r="G104"/>
  <c r="G102"/>
  <c r="G101"/>
  <c r="G100"/>
  <c r="G99"/>
  <c r="G98"/>
  <c r="G97"/>
  <c r="G96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3"/>
  <c r="G72"/>
  <c r="G71"/>
  <c r="G70"/>
  <c r="G69"/>
  <c r="G68"/>
  <c r="G67"/>
  <c r="G66"/>
  <c r="G64"/>
  <c r="G63"/>
  <c r="G57"/>
  <c r="G56"/>
  <c r="G55"/>
  <c r="G54"/>
  <c r="G52"/>
  <c r="G51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F114"/>
  <c r="F113"/>
  <c r="F112"/>
  <c r="F110"/>
  <c r="F109"/>
  <c r="F108"/>
  <c r="F107"/>
  <c r="F106"/>
  <c r="F105"/>
  <c r="F104"/>
  <c r="F102"/>
  <c r="F101"/>
  <c r="F100"/>
  <c r="F99"/>
  <c r="F98"/>
  <c r="F97"/>
  <c r="F96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3"/>
  <c r="F72"/>
  <c r="F71"/>
  <c r="F70"/>
  <c r="F69"/>
  <c r="F68"/>
  <c r="F67"/>
  <c r="F66"/>
  <c r="F64"/>
  <c r="F63"/>
  <c r="F57"/>
  <c r="F56"/>
  <c r="F55"/>
  <c r="F54"/>
  <c r="F52"/>
  <c r="F51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E114"/>
  <c r="E113"/>
  <c r="E112"/>
  <c r="E110"/>
  <c r="E109"/>
  <c r="E108"/>
  <c r="E107"/>
  <c r="E106"/>
  <c r="E105"/>
  <c r="E104"/>
  <c r="E102"/>
  <c r="E101"/>
  <c r="E100"/>
  <c r="E99"/>
  <c r="E98"/>
  <c r="E97"/>
  <c r="E96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3"/>
  <c r="E72"/>
  <c r="E71"/>
  <c r="E70"/>
  <c r="E69"/>
  <c r="E68"/>
  <c r="E67"/>
  <c r="E66"/>
  <c r="E64"/>
  <c r="E63"/>
  <c r="E57"/>
  <c r="E56"/>
  <c r="E55"/>
  <c r="E54"/>
  <c r="E52"/>
  <c r="E51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114" i="8"/>
  <c r="D114"/>
  <c r="E113"/>
  <c r="D113"/>
  <c r="E112"/>
  <c r="D112"/>
  <c r="E111"/>
  <c r="D111"/>
  <c r="E110"/>
  <c r="D110"/>
  <c r="E109"/>
  <c r="D109"/>
  <c r="E108"/>
  <c r="D108"/>
  <c r="E107"/>
  <c r="D107"/>
  <c r="E106"/>
  <c r="D106"/>
  <c r="E105"/>
  <c r="D105"/>
  <c r="E104"/>
  <c r="D104"/>
  <c r="E103"/>
  <c r="D103"/>
  <c r="E102"/>
  <c r="D102"/>
  <c r="E101"/>
  <c r="D101"/>
  <c r="E100"/>
  <c r="D100"/>
  <c r="E99"/>
  <c r="D99"/>
  <c r="E98"/>
  <c r="D98"/>
  <c r="E97"/>
  <c r="D97"/>
  <c r="E96"/>
  <c r="D96"/>
  <c r="E95"/>
  <c r="D95"/>
  <c r="E94"/>
  <c r="D94"/>
  <c r="E93"/>
  <c r="D93"/>
  <c r="E92"/>
  <c r="D92"/>
  <c r="E91"/>
  <c r="D91"/>
  <c r="E90"/>
  <c r="D90"/>
  <c r="E89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203" i="12"/>
  <c r="E202"/>
  <c r="E201"/>
  <c r="E195"/>
  <c r="E194"/>
  <c r="E193"/>
  <c r="Q1" i="9"/>
  <c r="D5" i="12"/>
  <c r="D4"/>
  <c r="N1" i="15"/>
  <c r="F9" i="8"/>
  <c r="F62" s="1"/>
  <c r="N1" i="9"/>
  <c r="F20" i="8"/>
  <c r="F12"/>
  <c r="F19"/>
  <c r="F14"/>
  <c r="F15"/>
  <c r="F24"/>
  <c r="F22"/>
  <c r="F17"/>
  <c r="G9"/>
  <c r="G61" s="1"/>
  <c r="F25"/>
  <c r="F18"/>
  <c r="F27"/>
  <c r="F10"/>
  <c r="F13"/>
  <c r="F11"/>
  <c r="F16"/>
  <c r="F21"/>
  <c r="F26"/>
  <c r="F23"/>
  <c r="G27"/>
  <c r="G12"/>
  <c r="G22"/>
  <c r="G11"/>
  <c r="G19"/>
  <c r="G17"/>
  <c r="G23"/>
  <c r="G13"/>
  <c r="G26"/>
  <c r="G21"/>
  <c r="G24"/>
  <c r="G10"/>
  <c r="G14"/>
  <c r="G18"/>
  <c r="G16"/>
  <c r="H9"/>
  <c r="H60" s="1"/>
  <c r="G20"/>
  <c r="G25"/>
  <c r="G15"/>
  <c r="H16"/>
  <c r="H20"/>
  <c r="H17"/>
  <c r="H26"/>
  <c r="H12"/>
  <c r="H21"/>
  <c r="H25"/>
  <c r="H24"/>
  <c r="H13"/>
  <c r="I9"/>
  <c r="H14"/>
  <c r="H18"/>
  <c r="H11"/>
  <c r="H10"/>
  <c r="H15"/>
  <c r="H22"/>
  <c r="H19"/>
  <c r="H27"/>
  <c r="H23"/>
  <c r="J9"/>
  <c r="I19"/>
  <c r="I21"/>
  <c r="I11"/>
  <c r="I27"/>
  <c r="I16"/>
  <c r="I18"/>
  <c r="I25"/>
  <c r="I17"/>
  <c r="I15"/>
  <c r="J22"/>
  <c r="J21"/>
  <c r="J25"/>
  <c r="K9"/>
  <c r="J20"/>
  <c r="J26"/>
  <c r="J14"/>
  <c r="J24"/>
  <c r="J27"/>
  <c r="K21"/>
  <c r="K12"/>
  <c r="K17"/>
  <c r="K19"/>
  <c r="K15"/>
  <c r="K27"/>
  <c r="K20"/>
  <c r="K16"/>
  <c r="K26"/>
  <c r="K25"/>
  <c r="E33" i="17"/>
  <c r="E95"/>
  <c r="G84"/>
  <c r="G99"/>
  <c r="G31"/>
  <c r="H31" s="1"/>
  <c r="E87"/>
  <c r="G42"/>
  <c r="E228"/>
  <c r="E93"/>
  <c r="E56"/>
  <c r="E97"/>
  <c r="G233"/>
  <c r="E122"/>
  <c r="E141"/>
  <c r="G27"/>
  <c r="H27"/>
  <c r="H94"/>
  <c r="E32"/>
  <c r="G30"/>
  <c r="H30" s="1"/>
  <c r="G82"/>
  <c r="H95"/>
  <c r="E57"/>
  <c r="E98"/>
  <c r="F122" s="1"/>
  <c r="F228"/>
  <c r="G32"/>
  <c r="G86"/>
  <c r="H32"/>
  <c r="H100"/>
  <c r="E40"/>
  <c r="E83"/>
  <c r="E105"/>
  <c r="G17"/>
  <c r="G39"/>
  <c r="G69"/>
  <c r="H69" s="1"/>
  <c r="G94"/>
  <c r="E84"/>
  <c r="E106"/>
  <c r="G18"/>
  <c r="G40"/>
  <c r="G70"/>
  <c r="H70" s="1"/>
  <c r="H42"/>
  <c r="E42"/>
  <c r="E86"/>
  <c r="E107"/>
  <c r="F155"/>
  <c r="G21"/>
  <c r="G98"/>
  <c r="H122" s="1"/>
  <c r="E26"/>
  <c r="E35"/>
  <c r="E233"/>
  <c r="E99"/>
  <c r="G33"/>
  <c r="G74"/>
  <c r="H74" s="1"/>
  <c r="G87"/>
  <c r="G100"/>
  <c r="H33"/>
  <c r="H103"/>
  <c r="E27"/>
  <c r="E90"/>
  <c r="E100"/>
  <c r="G103"/>
  <c r="H105"/>
  <c r="E37"/>
  <c r="E49"/>
  <c r="E91"/>
  <c r="E101"/>
  <c r="G122"/>
  <c r="G90"/>
  <c r="G105"/>
  <c r="H228"/>
  <c r="H39"/>
  <c r="H90"/>
  <c r="H106"/>
  <c r="E29"/>
  <c r="E39"/>
  <c r="E82"/>
  <c r="E92"/>
  <c r="E102"/>
  <c r="G16"/>
  <c r="G26"/>
  <c r="G37"/>
  <c r="G68"/>
  <c r="H68" s="1"/>
  <c r="G93"/>
  <c r="G107"/>
  <c r="H26"/>
  <c r="H40"/>
  <c r="H92"/>
  <c r="H107"/>
  <c r="E38"/>
  <c r="E137"/>
  <c r="E85"/>
  <c r="E146" s="1"/>
  <c r="E94"/>
  <c r="E103"/>
  <c r="G29"/>
  <c r="G38"/>
  <c r="G49"/>
  <c r="G62"/>
  <c r="H62" s="1"/>
  <c r="G139"/>
  <c r="G91"/>
  <c r="G119" s="1"/>
  <c r="G102"/>
  <c r="H98"/>
  <c r="H143"/>
  <c r="H99"/>
  <c r="G76"/>
  <c r="H76" s="1"/>
  <c r="G85"/>
  <c r="G95"/>
  <c r="G106"/>
  <c r="H154"/>
  <c r="H38"/>
  <c r="H49"/>
  <c r="H91"/>
  <c r="H119" s="1"/>
  <c r="H101"/>
  <c r="G129"/>
  <c r="G228"/>
  <c r="G163"/>
  <c r="G75"/>
  <c r="H75" s="1"/>
  <c r="G83"/>
  <c r="G92"/>
  <c r="G101"/>
  <c r="H29"/>
  <c r="H37"/>
  <c r="H93"/>
  <c r="H102"/>
  <c r="F159"/>
  <c r="F231"/>
  <c r="H233"/>
  <c r="G160"/>
  <c r="J158" i="12"/>
  <c r="P134"/>
  <c r="M134"/>
  <c r="L196"/>
  <c r="L198"/>
  <c r="L230"/>
  <c r="L127"/>
  <c r="L231"/>
  <c r="L197"/>
  <c r="L187"/>
  <c r="L199"/>
  <c r="G238"/>
  <c r="G186"/>
  <c r="G241"/>
  <c r="G239"/>
  <c r="J146"/>
  <c r="J156"/>
  <c r="K133"/>
  <c r="M161"/>
  <c r="M182"/>
  <c r="P131"/>
  <c r="P140"/>
  <c r="P132"/>
  <c r="K142"/>
  <c r="K141"/>
  <c r="J139"/>
  <c r="J233"/>
  <c r="J138"/>
  <c r="J234"/>
  <c r="J137"/>
  <c r="K153"/>
  <c r="K157"/>
  <c r="N240"/>
  <c r="Q150"/>
  <c r="Q149"/>
  <c r="J173"/>
  <c r="L185"/>
  <c r="L125"/>
  <c r="L232"/>
  <c r="L135"/>
  <c r="L136"/>
  <c r="M162"/>
  <c r="P172"/>
  <c r="E230"/>
  <c r="E187"/>
  <c r="E231"/>
  <c r="J62"/>
  <c r="J61"/>
  <c r="O235"/>
  <c r="I133"/>
  <c r="K181"/>
  <c r="L62"/>
  <c r="L61"/>
  <c r="M152"/>
  <c r="P126"/>
  <c r="I235"/>
  <c r="J145"/>
  <c r="M157"/>
  <c r="Q185"/>
  <c r="Q135"/>
  <c r="Q125"/>
  <c r="Q136"/>
  <c r="Q232"/>
  <c r="I241"/>
  <c r="I164"/>
  <c r="I186"/>
  <c r="I167"/>
  <c r="I165"/>
  <c r="I239"/>
  <c r="I163"/>
  <c r="I166"/>
  <c r="I238"/>
  <c r="I142"/>
  <c r="I141"/>
  <c r="K240"/>
  <c r="M131"/>
  <c r="M132"/>
  <c r="M140"/>
  <c r="N150"/>
  <c r="N149"/>
  <c r="Q157"/>
  <c r="F234"/>
  <c r="F233"/>
  <c r="I143"/>
  <c r="J199"/>
  <c r="J127"/>
  <c r="J187"/>
  <c r="J198"/>
  <c r="J231"/>
  <c r="J197"/>
  <c r="J230"/>
  <c r="J196"/>
  <c r="L162"/>
  <c r="N157"/>
  <c r="Q173"/>
  <c r="H236"/>
  <c r="H237"/>
  <c r="I129"/>
  <c r="I147"/>
  <c r="I148"/>
  <c r="K151"/>
  <c r="M240"/>
  <c r="N175"/>
  <c r="O134"/>
  <c r="O126"/>
  <c r="P143"/>
  <c r="H186"/>
  <c r="H241"/>
  <c r="H238"/>
  <c r="H239"/>
  <c r="I175"/>
  <c r="J134"/>
  <c r="K174"/>
  <c r="K152"/>
  <c r="L174"/>
  <c r="O138"/>
  <c r="O234"/>
  <c r="O233"/>
  <c r="O139"/>
  <c r="O137"/>
  <c r="O156"/>
  <c r="P144"/>
  <c r="E185"/>
  <c r="E232"/>
  <c r="I159"/>
  <c r="I160"/>
  <c r="J129"/>
  <c r="J235"/>
  <c r="J209" s="1"/>
  <c r="J174"/>
  <c r="J147"/>
  <c r="J148"/>
  <c r="K233"/>
  <c r="L207" s="1"/>
  <c r="K137"/>
  <c r="K138"/>
  <c r="K139"/>
  <c r="K234"/>
  <c r="L208" s="1"/>
  <c r="K175"/>
  <c r="K154"/>
  <c r="L175"/>
  <c r="M172"/>
  <c r="N178"/>
  <c r="N177"/>
  <c r="N176"/>
  <c r="P173"/>
  <c r="P145"/>
  <c r="Q133"/>
  <c r="I128"/>
  <c r="I188"/>
  <c r="I199"/>
  <c r="I196"/>
  <c r="I187"/>
  <c r="I215"/>
  <c r="I213"/>
  <c r="I198"/>
  <c r="I231"/>
  <c r="I230"/>
  <c r="I127"/>
  <c r="I197"/>
  <c r="I212"/>
  <c r="I158"/>
  <c r="J151"/>
  <c r="K144"/>
  <c r="L241"/>
  <c r="L167"/>
  <c r="L239"/>
  <c r="L163"/>
  <c r="L164"/>
  <c r="L166"/>
  <c r="L186"/>
  <c r="L165"/>
  <c r="L238"/>
  <c r="L179"/>
  <c r="L180"/>
  <c r="M188"/>
  <c r="M128"/>
  <c r="L150"/>
  <c r="L149"/>
  <c r="M178"/>
  <c r="M177"/>
  <c r="M176"/>
  <c r="O173"/>
  <c r="O146"/>
  <c r="P154"/>
  <c r="E233"/>
  <c r="E234"/>
  <c r="I130"/>
  <c r="I189"/>
  <c r="I125"/>
  <c r="I136"/>
  <c r="I232"/>
  <c r="I185"/>
  <c r="I135"/>
  <c r="I171"/>
  <c r="I170"/>
  <c r="I169"/>
  <c r="I168"/>
  <c r="J188"/>
  <c r="I179"/>
  <c r="J128"/>
  <c r="I180"/>
  <c r="I153"/>
  <c r="J161"/>
  <c r="J182"/>
  <c r="L181"/>
  <c r="L151"/>
  <c r="M151"/>
  <c r="N237"/>
  <c r="N236"/>
  <c r="N141"/>
  <c r="N142"/>
  <c r="P133"/>
  <c r="Q172"/>
  <c r="E235"/>
  <c r="I140"/>
  <c r="I132"/>
  <c r="I131"/>
  <c r="I181"/>
  <c r="I154"/>
  <c r="J162"/>
  <c r="J152"/>
  <c r="L128"/>
  <c r="K180"/>
  <c r="K179"/>
  <c r="L188"/>
  <c r="K145"/>
  <c r="L129"/>
  <c r="L152"/>
  <c r="N159"/>
  <c r="N160"/>
  <c r="O129"/>
  <c r="O174"/>
  <c r="O148"/>
  <c r="O147"/>
  <c r="E237"/>
  <c r="E236"/>
  <c r="F188"/>
  <c r="E240"/>
  <c r="F187"/>
  <c r="F207"/>
  <c r="F230"/>
  <c r="F204" s="1"/>
  <c r="F208"/>
  <c r="F231"/>
  <c r="F205" s="1"/>
  <c r="F235"/>
  <c r="F209" s="1"/>
  <c r="G234"/>
  <c r="G233"/>
  <c r="I172"/>
  <c r="I178"/>
  <c r="I177"/>
  <c r="I176"/>
  <c r="I240"/>
  <c r="I155"/>
  <c r="J189"/>
  <c r="J130"/>
  <c r="I157"/>
  <c r="J136"/>
  <c r="J232"/>
  <c r="J206" s="1"/>
  <c r="J125"/>
  <c r="J135"/>
  <c r="J185"/>
  <c r="J175"/>
  <c r="K128"/>
  <c r="J179"/>
  <c r="K188"/>
  <c r="J180"/>
  <c r="J153"/>
  <c r="K169"/>
  <c r="K171"/>
  <c r="K170"/>
  <c r="K168"/>
  <c r="K148"/>
  <c r="K147"/>
  <c r="L145"/>
  <c r="M138"/>
  <c r="M139"/>
  <c r="M233"/>
  <c r="M137"/>
  <c r="M234"/>
  <c r="M155"/>
  <c r="N130"/>
  <c r="N189"/>
  <c r="N135"/>
  <c r="N136"/>
  <c r="N232"/>
  <c r="N185"/>
  <c r="N125"/>
  <c r="O128"/>
  <c r="N179"/>
  <c r="N180"/>
  <c r="O188"/>
  <c r="N153"/>
  <c r="O161"/>
  <c r="O182"/>
  <c r="P166"/>
  <c r="P167"/>
  <c r="P165"/>
  <c r="P163"/>
  <c r="P238"/>
  <c r="P241"/>
  <c r="P164"/>
  <c r="P239"/>
  <c r="P186"/>
  <c r="P149"/>
  <c r="P150"/>
  <c r="Q236"/>
  <c r="Q237"/>
  <c r="Q176"/>
  <c r="Q178"/>
  <c r="Q177"/>
  <c r="Q153"/>
  <c r="E186"/>
  <c r="E239"/>
  <c r="E238"/>
  <c r="E241"/>
  <c r="F189"/>
  <c r="F232"/>
  <c r="F206" s="1"/>
  <c r="F185"/>
  <c r="F237"/>
  <c r="F211" s="1"/>
  <c r="F236"/>
  <c r="F210" s="1"/>
  <c r="H188"/>
  <c r="G207"/>
  <c r="G231"/>
  <c r="G208"/>
  <c r="G230"/>
  <c r="G204" s="1"/>
  <c r="G205"/>
  <c r="G187"/>
  <c r="G235"/>
  <c r="G209" s="1"/>
  <c r="I145"/>
  <c r="I151"/>
  <c r="J236"/>
  <c r="J237"/>
  <c r="J140"/>
  <c r="J132"/>
  <c r="J131"/>
  <c r="J181"/>
  <c r="J141"/>
  <c r="J142"/>
  <c r="K207"/>
  <c r="K199"/>
  <c r="K197"/>
  <c r="K209"/>
  <c r="K231"/>
  <c r="K205" s="1"/>
  <c r="K230"/>
  <c r="K127"/>
  <c r="K196"/>
  <c r="K208"/>
  <c r="K204"/>
  <c r="K187"/>
  <c r="K198"/>
  <c r="K237"/>
  <c r="K236"/>
  <c r="K210" s="1"/>
  <c r="K132"/>
  <c r="K140"/>
  <c r="K131"/>
  <c r="K149"/>
  <c r="K150"/>
  <c r="K155"/>
  <c r="L189"/>
  <c r="L130"/>
  <c r="L138"/>
  <c r="L233"/>
  <c r="L137"/>
  <c r="L139"/>
  <c r="L234"/>
  <c r="L170"/>
  <c r="L171"/>
  <c r="L168"/>
  <c r="L169"/>
  <c r="L154"/>
  <c r="L158"/>
  <c r="M164"/>
  <c r="M167"/>
  <c r="M241"/>
  <c r="M239"/>
  <c r="M238"/>
  <c r="M165"/>
  <c r="M163"/>
  <c r="M166"/>
  <c r="M186"/>
  <c r="M173"/>
  <c r="M145"/>
  <c r="N132"/>
  <c r="N140"/>
  <c r="N131"/>
  <c r="N181"/>
  <c r="O162"/>
  <c r="O152"/>
  <c r="P159"/>
  <c r="P160"/>
  <c r="P178"/>
  <c r="P177"/>
  <c r="P176"/>
  <c r="P240"/>
  <c r="P157"/>
  <c r="Q164"/>
  <c r="Q166"/>
  <c r="Q239"/>
  <c r="Q167"/>
  <c r="Q186"/>
  <c r="Q165"/>
  <c r="Q241"/>
  <c r="Q238"/>
  <c r="Q163"/>
  <c r="F238"/>
  <c r="F212" s="1"/>
  <c r="F186"/>
  <c r="F239"/>
  <c r="F213" s="1"/>
  <c r="F241"/>
  <c r="F215" s="1"/>
  <c r="F240"/>
  <c r="F214" s="1"/>
  <c r="H189"/>
  <c r="G185"/>
  <c r="G232"/>
  <c r="G206" s="1"/>
  <c r="H235"/>
  <c r="I209" s="1"/>
  <c r="I134"/>
  <c r="I182"/>
  <c r="I161"/>
  <c r="I173"/>
  <c r="I146"/>
  <c r="J160"/>
  <c r="J159"/>
  <c r="J143"/>
  <c r="J150"/>
  <c r="J149"/>
  <c r="K129"/>
  <c r="K186"/>
  <c r="K164"/>
  <c r="K165"/>
  <c r="K238"/>
  <c r="K163"/>
  <c r="K239"/>
  <c r="K167"/>
  <c r="K241"/>
  <c r="K166"/>
  <c r="K176"/>
  <c r="K177"/>
  <c r="K178"/>
  <c r="K158"/>
  <c r="L235"/>
  <c r="L132"/>
  <c r="L140"/>
  <c r="L131"/>
  <c r="L142"/>
  <c r="L141"/>
  <c r="L148"/>
  <c r="L147"/>
  <c r="M146"/>
  <c r="M126"/>
  <c r="N143"/>
  <c r="O214"/>
  <c r="O197"/>
  <c r="O196"/>
  <c r="O199"/>
  <c r="O187"/>
  <c r="O230"/>
  <c r="O198"/>
  <c r="O127"/>
  <c r="O231"/>
  <c r="Q154"/>
  <c r="G237"/>
  <c r="G211" s="1"/>
  <c r="G236"/>
  <c r="G210" s="1"/>
  <c r="G240"/>
  <c r="G214" s="1"/>
  <c r="H232"/>
  <c r="H185"/>
  <c r="I233"/>
  <c r="I139"/>
  <c r="I138"/>
  <c r="I137"/>
  <c r="I234"/>
  <c r="I162"/>
  <c r="I61"/>
  <c r="I62"/>
  <c r="I152"/>
  <c r="I156"/>
  <c r="J172"/>
  <c r="J177"/>
  <c r="J178"/>
  <c r="J176"/>
  <c r="J240"/>
  <c r="J214" s="1"/>
  <c r="J144"/>
  <c r="K189"/>
  <c r="J155"/>
  <c r="K130"/>
  <c r="J157"/>
  <c r="K159"/>
  <c r="K160"/>
  <c r="K172"/>
  <c r="K61"/>
  <c r="K62"/>
  <c r="K143"/>
  <c r="L237"/>
  <c r="L211" s="1"/>
  <c r="L236"/>
  <c r="L210" s="1"/>
  <c r="L172"/>
  <c r="L156"/>
  <c r="M61"/>
  <c r="M62"/>
  <c r="M156"/>
  <c r="N172"/>
  <c r="N144"/>
  <c r="O189"/>
  <c r="O130"/>
  <c r="N155"/>
  <c r="O135"/>
  <c r="O232"/>
  <c r="O206" s="1"/>
  <c r="O136"/>
  <c r="O125"/>
  <c r="O185"/>
  <c r="O179"/>
  <c r="O180"/>
  <c r="P188"/>
  <c r="P128"/>
  <c r="O153"/>
  <c r="O158"/>
  <c r="P161"/>
  <c r="P182"/>
  <c r="Q155"/>
  <c r="H211"/>
  <c r="H230"/>
  <c r="H204" s="1"/>
  <c r="H212"/>
  <c r="H206"/>
  <c r="H213"/>
  <c r="H187"/>
  <c r="H210"/>
  <c r="H209"/>
  <c r="H215"/>
  <c r="H231"/>
  <c r="H205" s="1"/>
  <c r="H233"/>
  <c r="H207" s="1"/>
  <c r="H234"/>
  <c r="H208" s="1"/>
  <c r="H240"/>
  <c r="H214" s="1"/>
  <c r="I237"/>
  <c r="I211" s="1"/>
  <c r="I236"/>
  <c r="I210" s="1"/>
  <c r="I174"/>
  <c r="I144"/>
  <c r="I149"/>
  <c r="I150"/>
  <c r="J133"/>
  <c r="J163"/>
  <c r="J165"/>
  <c r="J239"/>
  <c r="J213" s="1"/>
  <c r="J167"/>
  <c r="J186"/>
  <c r="J238"/>
  <c r="J212" s="1"/>
  <c r="J164"/>
  <c r="J241"/>
  <c r="J215" s="1"/>
  <c r="J166"/>
  <c r="J169"/>
  <c r="J170"/>
  <c r="J171"/>
  <c r="J168"/>
  <c r="J154"/>
  <c r="K134"/>
  <c r="K161"/>
  <c r="K182"/>
  <c r="K146"/>
  <c r="K126"/>
  <c r="L133"/>
  <c r="L159"/>
  <c r="L160"/>
  <c r="L144"/>
  <c r="M129"/>
  <c r="M213"/>
  <c r="M208"/>
  <c r="M198"/>
  <c r="M212"/>
  <c r="M127"/>
  <c r="M196"/>
  <c r="M215"/>
  <c r="M199"/>
  <c r="M187"/>
  <c r="M197"/>
  <c r="M230"/>
  <c r="M204" s="1"/>
  <c r="M209"/>
  <c r="M231"/>
  <c r="M205" s="1"/>
  <c r="M207"/>
  <c r="M235"/>
  <c r="M147"/>
  <c r="M148"/>
  <c r="M158"/>
  <c r="N145"/>
  <c r="N151"/>
  <c r="O237"/>
  <c r="O211" s="1"/>
  <c r="O236"/>
  <c r="O210" s="1"/>
  <c r="O170"/>
  <c r="O169"/>
  <c r="O171"/>
  <c r="O168"/>
  <c r="O181"/>
  <c r="O141"/>
  <c r="O142"/>
  <c r="P138"/>
  <c r="P139"/>
  <c r="P137"/>
  <c r="P234"/>
  <c r="P233"/>
  <c r="P162"/>
  <c r="P152"/>
  <c r="P156"/>
  <c r="Q182"/>
  <c r="Q161"/>
  <c r="Q179"/>
  <c r="Q180"/>
  <c r="Q141"/>
  <c r="Q142"/>
  <c r="Q143"/>
  <c r="L176"/>
  <c r="L178"/>
  <c r="L177"/>
  <c r="L155"/>
  <c r="M130"/>
  <c r="M189"/>
  <c r="L157"/>
  <c r="M136"/>
  <c r="M232"/>
  <c r="M206" s="1"/>
  <c r="M185"/>
  <c r="M135"/>
  <c r="M125"/>
  <c r="M171"/>
  <c r="M169"/>
  <c r="M168"/>
  <c r="M170"/>
  <c r="M175"/>
  <c r="N128"/>
  <c r="M180"/>
  <c r="N188"/>
  <c r="M179"/>
  <c r="M153"/>
  <c r="N134"/>
  <c r="N161"/>
  <c r="N182"/>
  <c r="N173"/>
  <c r="N146"/>
  <c r="N126"/>
  <c r="O238"/>
  <c r="O186"/>
  <c r="O165"/>
  <c r="O241"/>
  <c r="O167"/>
  <c r="O163"/>
  <c r="O166"/>
  <c r="O239"/>
  <c r="O164"/>
  <c r="O143"/>
  <c r="O150"/>
  <c r="O149"/>
  <c r="O154"/>
  <c r="P129"/>
  <c r="P212"/>
  <c r="P215"/>
  <c r="P187"/>
  <c r="P197"/>
  <c r="P213"/>
  <c r="P231"/>
  <c r="P205" s="1"/>
  <c r="P207"/>
  <c r="P208"/>
  <c r="P209"/>
  <c r="P199"/>
  <c r="P198"/>
  <c r="P196"/>
  <c r="P230"/>
  <c r="P204" s="1"/>
  <c r="P127"/>
  <c r="P235"/>
  <c r="P174"/>
  <c r="P61"/>
  <c r="P62"/>
  <c r="P147"/>
  <c r="P148"/>
  <c r="Q134"/>
  <c r="Q162"/>
  <c r="Q181"/>
  <c r="Q144"/>
  <c r="Q151"/>
  <c r="Q126"/>
  <c r="M181"/>
  <c r="M142"/>
  <c r="M141"/>
  <c r="M154"/>
  <c r="N233"/>
  <c r="O207" s="1"/>
  <c r="N139"/>
  <c r="N234"/>
  <c r="O208" s="1"/>
  <c r="N138"/>
  <c r="N137"/>
  <c r="N162"/>
  <c r="N61"/>
  <c r="N62"/>
  <c r="N152"/>
  <c r="N156"/>
  <c r="O133"/>
  <c r="O172"/>
  <c r="O176"/>
  <c r="O177"/>
  <c r="O178"/>
  <c r="O240"/>
  <c r="P214" s="1"/>
  <c r="O144"/>
  <c r="P189"/>
  <c r="O155"/>
  <c r="P130"/>
  <c r="O157"/>
  <c r="P125"/>
  <c r="P135"/>
  <c r="P232"/>
  <c r="P206" s="1"/>
  <c r="P185"/>
  <c r="P136"/>
  <c r="P153"/>
  <c r="Q233"/>
  <c r="Q137"/>
  <c r="Q139"/>
  <c r="Q138"/>
  <c r="Q234"/>
  <c r="Q240"/>
  <c r="Q156"/>
  <c r="Q158"/>
  <c r="L134"/>
  <c r="L182"/>
  <c r="L161"/>
  <c r="L173"/>
  <c r="L146"/>
  <c r="L126"/>
  <c r="M133"/>
  <c r="M159"/>
  <c r="M160"/>
  <c r="M143"/>
  <c r="N129"/>
  <c r="N207"/>
  <c r="N231"/>
  <c r="N205" s="1"/>
  <c r="N198"/>
  <c r="N209"/>
  <c r="N206"/>
  <c r="N196"/>
  <c r="N208"/>
  <c r="N187"/>
  <c r="N230"/>
  <c r="N204" s="1"/>
  <c r="N197"/>
  <c r="N214"/>
  <c r="N127"/>
  <c r="N199"/>
  <c r="N235"/>
  <c r="O209" s="1"/>
  <c r="N174"/>
  <c r="N148"/>
  <c r="N147"/>
  <c r="O151"/>
  <c r="P237"/>
  <c r="P211" s="1"/>
  <c r="P236"/>
  <c r="P210" s="1"/>
  <c r="P169"/>
  <c r="P168"/>
  <c r="P170"/>
  <c r="P171"/>
  <c r="P175"/>
  <c r="P181"/>
  <c r="P141"/>
  <c r="P142"/>
  <c r="Q168"/>
  <c r="Q169"/>
  <c r="Q171"/>
  <c r="Q170"/>
  <c r="Q146"/>
  <c r="Q152"/>
  <c r="K136"/>
  <c r="K125"/>
  <c r="K232"/>
  <c r="K206" s="1"/>
  <c r="K185"/>
  <c r="K135"/>
  <c r="K235"/>
  <c r="L209" s="1"/>
  <c r="K162"/>
  <c r="K173"/>
  <c r="K156"/>
  <c r="L240"/>
  <c r="L214" s="1"/>
  <c r="L143"/>
  <c r="L153"/>
  <c r="M237"/>
  <c r="M211" s="1"/>
  <c r="M236"/>
  <c r="M210" s="1"/>
  <c r="M174"/>
  <c r="M144"/>
  <c r="M149"/>
  <c r="M150"/>
  <c r="N133"/>
  <c r="N241"/>
  <c r="N215" s="1"/>
  <c r="N186"/>
  <c r="N163"/>
  <c r="N238"/>
  <c r="N212" s="1"/>
  <c r="N239"/>
  <c r="N213" s="1"/>
  <c r="N164"/>
  <c r="N166"/>
  <c r="N165"/>
  <c r="N167"/>
  <c r="N169"/>
  <c r="N171"/>
  <c r="N168"/>
  <c r="N170"/>
  <c r="N154"/>
  <c r="N158"/>
  <c r="O160"/>
  <c r="O159"/>
  <c r="O132"/>
  <c r="O131"/>
  <c r="O140"/>
  <c r="O175"/>
  <c r="O61"/>
  <c r="O62"/>
  <c r="O145"/>
  <c r="Q128"/>
  <c r="P179"/>
  <c r="P180"/>
  <c r="Q188"/>
  <c r="P146"/>
  <c r="P151"/>
  <c r="Q189"/>
  <c r="Q130"/>
  <c r="P155"/>
  <c r="Q129"/>
  <c r="Q187"/>
  <c r="Q208"/>
  <c r="Q199"/>
  <c r="Q211"/>
  <c r="Q210"/>
  <c r="Q206"/>
  <c r="Q214"/>
  <c r="Q207"/>
  <c r="Q212"/>
  <c r="Q231"/>
  <c r="Q205" s="1"/>
  <c r="Q230"/>
  <c r="Q204" s="1"/>
  <c r="Q197"/>
  <c r="Q209"/>
  <c r="Q213"/>
  <c r="Q198"/>
  <c r="Q127"/>
  <c r="Q196"/>
  <c r="Q215"/>
  <c r="Q235"/>
  <c r="Q174"/>
  <c r="Q147"/>
  <c r="Q148"/>
  <c r="P158"/>
  <c r="Q160"/>
  <c r="Q159"/>
  <c r="Q140"/>
  <c r="Q131"/>
  <c r="Q132"/>
  <c r="Q175"/>
  <c r="Q61"/>
  <c r="Q62"/>
  <c r="Q145"/>
  <c r="H136" i="17"/>
  <c r="H157"/>
  <c r="H155"/>
  <c r="G226"/>
  <c r="G225"/>
  <c r="G155"/>
  <c r="G178"/>
  <c r="H146"/>
  <c r="H175"/>
  <c r="F152"/>
  <c r="H160"/>
  <c r="F142"/>
  <c r="H14"/>
  <c r="F146"/>
  <c r="F144"/>
  <c r="F232"/>
  <c r="H167"/>
  <c r="F150"/>
  <c r="F158"/>
  <c r="F166"/>
  <c r="F147"/>
  <c r="H164"/>
  <c r="G167"/>
  <c r="F136"/>
  <c r="G138"/>
  <c r="E135"/>
  <c r="E134"/>
  <c r="H36"/>
  <c r="F145"/>
  <c r="E145"/>
  <c r="H142"/>
  <c r="H126"/>
  <c r="G151"/>
  <c r="E151"/>
  <c r="E126"/>
  <c r="G146"/>
  <c r="F151"/>
  <c r="E139"/>
  <c r="E127"/>
  <c r="H147"/>
  <c r="F226"/>
  <c r="F132"/>
  <c r="F227"/>
  <c r="F138"/>
  <c r="H166"/>
  <c r="F171"/>
  <c r="F170"/>
  <c r="H134"/>
  <c r="H135"/>
  <c r="F128"/>
  <c r="F225"/>
  <c r="F178"/>
  <c r="F129"/>
  <c r="F175"/>
  <c r="F154"/>
  <c r="E118"/>
  <c r="E44"/>
  <c r="E129"/>
  <c r="E225"/>
  <c r="E178"/>
  <c r="G137"/>
  <c r="E34"/>
  <c r="E181"/>
  <c r="E153"/>
  <c r="E152"/>
  <c r="E156"/>
  <c r="E157"/>
  <c r="E231"/>
  <c r="E179"/>
  <c r="E160"/>
  <c r="E159"/>
  <c r="E234"/>
  <c r="E232"/>
  <c r="E158"/>
  <c r="F164"/>
  <c r="F162"/>
  <c r="F163"/>
  <c r="F161"/>
  <c r="F230"/>
  <c r="F179"/>
  <c r="G153"/>
  <c r="F134"/>
  <c r="F135"/>
  <c r="E150"/>
  <c r="E165"/>
  <c r="H144"/>
  <c r="G36"/>
  <c r="G169" s="1"/>
  <c r="E25"/>
  <c r="E168"/>
  <c r="E140"/>
  <c r="F139"/>
  <c r="G165"/>
  <c r="G25"/>
  <c r="G118"/>
  <c r="H141"/>
  <c r="H140"/>
  <c r="F127"/>
  <c r="H152"/>
  <c r="H153"/>
  <c r="E175"/>
  <c r="E154"/>
  <c r="H132"/>
  <c r="H227"/>
  <c r="H226"/>
  <c r="H130"/>
  <c r="E170"/>
  <c r="E171"/>
  <c r="F118"/>
  <c r="F233"/>
  <c r="F207" s="1"/>
  <c r="F157"/>
  <c r="F169"/>
  <c r="E155"/>
  <c r="G128"/>
  <c r="G142"/>
  <c r="G143"/>
  <c r="F168"/>
  <c r="G162"/>
  <c r="G179"/>
  <c r="G127"/>
  <c r="G136"/>
  <c r="F165"/>
  <c r="E36"/>
  <c r="E169" s="1"/>
  <c r="H161"/>
  <c r="H162"/>
  <c r="E138"/>
  <c r="G147"/>
  <c r="H145"/>
  <c r="E147"/>
  <c r="F153"/>
  <c r="H163"/>
  <c r="G145"/>
  <c r="H165"/>
  <c r="F130"/>
  <c r="F131"/>
  <c r="G135"/>
  <c r="G134"/>
  <c r="H131"/>
  <c r="H139"/>
  <c r="H170"/>
  <c r="H169"/>
  <c r="E128"/>
  <c r="G152"/>
  <c r="F149"/>
  <c r="H171"/>
  <c r="G126"/>
  <c r="G156"/>
  <c r="G166"/>
  <c r="H137"/>
  <c r="G61"/>
  <c r="H61" s="1"/>
  <c r="F234"/>
  <c r="F208" s="1"/>
  <c r="H25"/>
  <c r="F143"/>
  <c r="E132"/>
  <c r="E227"/>
  <c r="E226"/>
  <c r="E131"/>
  <c r="E130"/>
  <c r="G170"/>
  <c r="G34"/>
  <c r="H34" s="1"/>
  <c r="G171"/>
  <c r="G141"/>
  <c r="G140"/>
  <c r="H168"/>
  <c r="G144"/>
  <c r="E142"/>
  <c r="E143"/>
  <c r="H149"/>
  <c r="E149"/>
  <c r="G131"/>
  <c r="G130"/>
  <c r="G227"/>
  <c r="G132"/>
  <c r="H178"/>
  <c r="H225"/>
  <c r="H128"/>
  <c r="H129"/>
  <c r="H118"/>
  <c r="E182"/>
  <c r="G154"/>
  <c r="G175"/>
  <c r="G231"/>
  <c r="G232"/>
  <c r="G159"/>
  <c r="G157"/>
  <c r="G158"/>
  <c r="G150"/>
  <c r="H232"/>
  <c r="H159"/>
  <c r="H179"/>
  <c r="H230"/>
  <c r="H158"/>
  <c r="H234"/>
  <c r="H231"/>
  <c r="E136"/>
  <c r="G234"/>
  <c r="H156"/>
  <c r="F156"/>
  <c r="G44"/>
  <c r="G161"/>
  <c r="G3"/>
  <c r="H150"/>
  <c r="F167"/>
  <c r="F126"/>
  <c r="E167"/>
  <c r="F137"/>
  <c r="H127"/>
  <c r="E144"/>
  <c r="E166"/>
  <c r="H151"/>
  <c r="E163"/>
  <c r="E161"/>
  <c r="E162"/>
  <c r="E164"/>
  <c r="F141"/>
  <c r="F140"/>
  <c r="G230"/>
  <c r="G229"/>
  <c r="L228" i="12"/>
  <c r="L224"/>
  <c r="L226"/>
  <c r="L227"/>
  <c r="L225"/>
  <c r="L223"/>
  <c r="Q226"/>
  <c r="Q225"/>
  <c r="Q228"/>
  <c r="Q223"/>
  <c r="Q224"/>
  <c r="Q227"/>
  <c r="H224"/>
  <c r="H226"/>
  <c r="H228"/>
  <c r="H225"/>
  <c r="H227"/>
  <c r="H223"/>
  <c r="J222"/>
  <c r="J218"/>
  <c r="J221"/>
  <c r="J217"/>
  <c r="J220"/>
  <c r="J219"/>
  <c r="Q221"/>
  <c r="Q218"/>
  <c r="Q217"/>
  <c r="Q219"/>
  <c r="Q222"/>
  <c r="Q220"/>
  <c r="G223"/>
  <c r="G224"/>
  <c r="G226"/>
  <c r="G228"/>
  <c r="G227"/>
  <c r="G225"/>
  <c r="K228"/>
  <c r="K223"/>
  <c r="K226"/>
  <c r="K224"/>
  <c r="K225"/>
  <c r="K227"/>
  <c r="O221"/>
  <c r="O217"/>
  <c r="O218"/>
  <c r="O220"/>
  <c r="O222"/>
  <c r="O219"/>
  <c r="M224"/>
  <c r="M228"/>
  <c r="M227"/>
  <c r="M223"/>
  <c r="M226"/>
  <c r="M225"/>
  <c r="P222"/>
  <c r="P219"/>
  <c r="P220"/>
  <c r="P217"/>
  <c r="P218"/>
  <c r="P221"/>
  <c r="K221"/>
  <c r="K220"/>
  <c r="K222"/>
  <c r="K217"/>
  <c r="K218"/>
  <c r="K219"/>
  <c r="F226"/>
  <c r="F227"/>
  <c r="F228"/>
  <c r="F223"/>
  <c r="F224"/>
  <c r="F225"/>
  <c r="P226"/>
  <c r="P228"/>
  <c r="P227"/>
  <c r="P224"/>
  <c r="P225"/>
  <c r="P223"/>
  <c r="I227"/>
  <c r="I228"/>
  <c r="I224"/>
  <c r="I226"/>
  <c r="I223"/>
  <c r="I225"/>
  <c r="H217"/>
  <c r="H220"/>
  <c r="H221"/>
  <c r="H218"/>
  <c r="H222"/>
  <c r="H219"/>
  <c r="L219"/>
  <c r="L218"/>
  <c r="L222"/>
  <c r="L217"/>
  <c r="L220"/>
  <c r="L221"/>
  <c r="M219"/>
  <c r="M218"/>
  <c r="M217"/>
  <c r="M222"/>
  <c r="M220"/>
  <c r="M221"/>
  <c r="F220"/>
  <c r="F217"/>
  <c r="F221"/>
  <c r="F219"/>
  <c r="F222"/>
  <c r="F218"/>
  <c r="N220"/>
  <c r="N221"/>
  <c r="N222"/>
  <c r="N219"/>
  <c r="N217"/>
  <c r="N218"/>
  <c r="O224"/>
  <c r="O225"/>
  <c r="O228"/>
  <c r="O226"/>
  <c r="O227"/>
  <c r="O223"/>
  <c r="I222"/>
  <c r="I218"/>
  <c r="I217"/>
  <c r="I220"/>
  <c r="I219"/>
  <c r="I221"/>
  <c r="J225"/>
  <c r="J224"/>
  <c r="J226"/>
  <c r="J228"/>
  <c r="J223"/>
  <c r="J227"/>
  <c r="G219"/>
  <c r="G218"/>
  <c r="G222"/>
  <c r="G217"/>
  <c r="G221"/>
  <c r="G220"/>
  <c r="N224"/>
  <c r="N225"/>
  <c r="N227"/>
  <c r="N226"/>
  <c r="N228"/>
  <c r="N223"/>
  <c r="F180" i="17"/>
  <c r="G208"/>
  <c r="G202"/>
  <c r="G120"/>
  <c r="F229"/>
  <c r="H229"/>
  <c r="E229"/>
  <c r="E230"/>
  <c r="E180"/>
  <c r="E199"/>
  <c r="E223"/>
  <c r="E197" s="1"/>
  <c r="E224"/>
  <c r="E198" s="1"/>
  <c r="E205"/>
  <c r="E201"/>
  <c r="E123"/>
  <c r="E206"/>
  <c r="F181"/>
  <c r="E208"/>
  <c r="E200"/>
  <c r="E120"/>
  <c r="E124"/>
  <c r="F223"/>
  <c r="F212" s="1"/>
  <c r="F205"/>
  <c r="F201"/>
  <c r="F206"/>
  <c r="F224"/>
  <c r="F199"/>
  <c r="H124"/>
  <c r="F120"/>
  <c r="G218"/>
  <c r="G221"/>
  <c r="G217"/>
  <c r="F219"/>
  <c r="F133"/>
  <c r="F125"/>
  <c r="F124"/>
  <c r="F148"/>
  <c r="F174"/>
  <c r="G123"/>
  <c r="G182"/>
  <c r="F214"/>
  <c r="F210"/>
  <c r="F123"/>
  <c r="E148"/>
  <c r="F182"/>
  <c r="E174"/>
  <c r="F121"/>
  <c r="E173"/>
  <c r="E125"/>
  <c r="E133"/>
  <c r="E213"/>
  <c r="E214"/>
  <c r="E210"/>
  <c r="E211"/>
  <c r="E212"/>
  <c r="F218"/>
  <c r="H218"/>
  <c r="H216"/>
  <c r="H220"/>
  <c r="H219"/>
  <c r="H221"/>
  <c r="G181"/>
  <c r="F173"/>
  <c r="F172"/>
  <c r="E219"/>
  <c r="E221"/>
  <c r="E217"/>
  <c r="E216"/>
  <c r="E218"/>
  <c r="H133"/>
  <c r="G224" l="1"/>
  <c r="H3"/>
  <c r="H203" s="1"/>
  <c r="G168"/>
  <c r="H217"/>
  <c r="H204"/>
  <c r="G198"/>
  <c r="F203"/>
  <c r="G204"/>
  <c r="G199"/>
  <c r="G201"/>
  <c r="G200"/>
  <c r="G219"/>
  <c r="H125"/>
  <c r="E121"/>
  <c r="E172"/>
  <c r="F211"/>
  <c r="G89"/>
  <c r="G24"/>
  <c r="G223"/>
  <c r="G212" s="1"/>
  <c r="G180"/>
  <c r="G206"/>
  <c r="G205"/>
  <c r="G213"/>
  <c r="F220"/>
  <c r="F221"/>
  <c r="F213"/>
  <c r="G216"/>
  <c r="F200"/>
  <c r="F197"/>
  <c r="K211" i="12"/>
  <c r="N210"/>
  <c r="O213"/>
  <c r="O215"/>
  <c r="I208"/>
  <c r="I207"/>
  <c r="K215"/>
  <c r="K213"/>
  <c r="K212"/>
  <c r="K214"/>
  <c r="J211"/>
  <c r="G215"/>
  <c r="I206"/>
  <c r="L212"/>
  <c r="L213"/>
  <c r="L215"/>
  <c r="I205"/>
  <c r="I204"/>
  <c r="J204"/>
  <c r="J205"/>
  <c r="L204"/>
  <c r="N211"/>
  <c r="O212"/>
  <c r="M214"/>
  <c r="O205"/>
  <c r="O204"/>
  <c r="J210"/>
  <c r="G212"/>
  <c r="G213"/>
  <c r="I214"/>
  <c r="J208"/>
  <c r="J207"/>
  <c r="L206"/>
  <c r="L205"/>
  <c r="K114" i="8"/>
  <c r="K112"/>
  <c r="K110"/>
  <c r="K108"/>
  <c r="K106"/>
  <c r="K104"/>
  <c r="K102"/>
  <c r="K100"/>
  <c r="K98"/>
  <c r="K113"/>
  <c r="K111"/>
  <c r="K109"/>
  <c r="K107"/>
  <c r="K105"/>
  <c r="K103"/>
  <c r="K101"/>
  <c r="K99"/>
  <c r="K96"/>
  <c r="K94"/>
  <c r="K92"/>
  <c r="K90"/>
  <c r="K88"/>
  <c r="K86"/>
  <c r="K84"/>
  <c r="K82"/>
  <c r="K80"/>
  <c r="K78"/>
  <c r="K76"/>
  <c r="K74"/>
  <c r="K72"/>
  <c r="K70"/>
  <c r="K68"/>
  <c r="K66"/>
  <c r="K64"/>
  <c r="K62"/>
  <c r="K97"/>
  <c r="K95"/>
  <c r="K93"/>
  <c r="K91"/>
  <c r="K89"/>
  <c r="K87"/>
  <c r="K85"/>
  <c r="K83"/>
  <c r="K81"/>
  <c r="K79"/>
  <c r="K77"/>
  <c r="K75"/>
  <c r="K73"/>
  <c r="K71"/>
  <c r="K69"/>
  <c r="K67"/>
  <c r="K65"/>
  <c r="K63"/>
  <c r="J113"/>
  <c r="J111"/>
  <c r="J109"/>
  <c r="J107"/>
  <c r="J105"/>
  <c r="J103"/>
  <c r="J101"/>
  <c r="J99"/>
  <c r="J114"/>
  <c r="J112"/>
  <c r="J110"/>
  <c r="J108"/>
  <c r="J106"/>
  <c r="J104"/>
  <c r="J102"/>
  <c r="J100"/>
  <c r="J98"/>
  <c r="J97"/>
  <c r="J95"/>
  <c r="J93"/>
  <c r="J91"/>
  <c r="J89"/>
  <c r="J87"/>
  <c r="J85"/>
  <c r="J83"/>
  <c r="J81"/>
  <c r="J79"/>
  <c r="J77"/>
  <c r="J75"/>
  <c r="J73"/>
  <c r="J71"/>
  <c r="J69"/>
  <c r="J67"/>
  <c r="J65"/>
  <c r="J63"/>
  <c r="J96"/>
  <c r="J94"/>
  <c r="J92"/>
  <c r="J90"/>
  <c r="J88"/>
  <c r="J86"/>
  <c r="J84"/>
  <c r="J82"/>
  <c r="J80"/>
  <c r="J78"/>
  <c r="J76"/>
  <c r="J74"/>
  <c r="J72"/>
  <c r="J70"/>
  <c r="J68"/>
  <c r="J66"/>
  <c r="J64"/>
  <c r="I114"/>
  <c r="I112"/>
  <c r="I110"/>
  <c r="I108"/>
  <c r="I106"/>
  <c r="I104"/>
  <c r="I102"/>
  <c r="I100"/>
  <c r="I98"/>
  <c r="I113"/>
  <c r="I111"/>
  <c r="I109"/>
  <c r="I107"/>
  <c r="I105"/>
  <c r="I103"/>
  <c r="I101"/>
  <c r="I99"/>
  <c r="I96"/>
  <c r="I94"/>
  <c r="I92"/>
  <c r="I90"/>
  <c r="I88"/>
  <c r="I86"/>
  <c r="I84"/>
  <c r="I82"/>
  <c r="I80"/>
  <c r="I78"/>
  <c r="I76"/>
  <c r="I74"/>
  <c r="I72"/>
  <c r="I70"/>
  <c r="I68"/>
  <c r="I66"/>
  <c r="I64"/>
  <c r="I62"/>
  <c r="I97"/>
  <c r="I95"/>
  <c r="I93"/>
  <c r="I91"/>
  <c r="I89"/>
  <c r="I87"/>
  <c r="I85"/>
  <c r="I83"/>
  <c r="I81"/>
  <c r="I79"/>
  <c r="I77"/>
  <c r="I75"/>
  <c r="I73"/>
  <c r="I71"/>
  <c r="I69"/>
  <c r="I67"/>
  <c r="I65"/>
  <c r="I63"/>
  <c r="F28"/>
  <c r="H28"/>
  <c r="J28"/>
  <c r="G29"/>
  <c r="I29"/>
  <c r="K29"/>
  <c r="F30"/>
  <c r="H30"/>
  <c r="J30"/>
  <c r="G31"/>
  <c r="I31"/>
  <c r="K31"/>
  <c r="F32"/>
  <c r="H32"/>
  <c r="J32"/>
  <c r="G33"/>
  <c r="I33"/>
  <c r="K33"/>
  <c r="F34"/>
  <c r="H34"/>
  <c r="J34"/>
  <c r="G35"/>
  <c r="I35"/>
  <c r="K35"/>
  <c r="F36"/>
  <c r="H36"/>
  <c r="J36"/>
  <c r="G37"/>
  <c r="I37"/>
  <c r="K37"/>
  <c r="F38"/>
  <c r="H38"/>
  <c r="J38"/>
  <c r="G39"/>
  <c r="I39"/>
  <c r="K39"/>
  <c r="F40"/>
  <c r="H40"/>
  <c r="J40"/>
  <c r="G41"/>
  <c r="I41"/>
  <c r="K41"/>
  <c r="F42"/>
  <c r="H42"/>
  <c r="J42"/>
  <c r="G43"/>
  <c r="I43"/>
  <c r="K43"/>
  <c r="F44"/>
  <c r="H44"/>
  <c r="J44"/>
  <c r="G45"/>
  <c r="I45"/>
  <c r="K45"/>
  <c r="F46"/>
  <c r="H46"/>
  <c r="J46"/>
  <c r="G47"/>
  <c r="I47"/>
  <c r="K47"/>
  <c r="F48"/>
  <c r="H48"/>
  <c r="J48"/>
  <c r="G49"/>
  <c r="I49"/>
  <c r="K49"/>
  <c r="F50"/>
  <c r="H50"/>
  <c r="J50"/>
  <c r="G51"/>
  <c r="I51"/>
  <c r="K51"/>
  <c r="F52"/>
  <c r="H52"/>
  <c r="J52"/>
  <c r="G53"/>
  <c r="I53"/>
  <c r="K53"/>
  <c r="F54"/>
  <c r="H54"/>
  <c r="J54"/>
  <c r="G55"/>
  <c r="I55"/>
  <c r="K55"/>
  <c r="F56"/>
  <c r="H56"/>
  <c r="J56"/>
  <c r="G57"/>
  <c r="I57"/>
  <c r="K57"/>
  <c r="F58"/>
  <c r="H58"/>
  <c r="J58"/>
  <c r="G59"/>
  <c r="I59"/>
  <c r="K59"/>
  <c r="F60"/>
  <c r="J60"/>
  <c r="I61"/>
  <c r="K61"/>
  <c r="J62"/>
  <c r="H113"/>
  <c r="H111"/>
  <c r="H109"/>
  <c r="H107"/>
  <c r="H105"/>
  <c r="H103"/>
  <c r="H101"/>
  <c r="H99"/>
  <c r="H114"/>
  <c r="H112"/>
  <c r="H110"/>
  <c r="H108"/>
  <c r="H106"/>
  <c r="H104"/>
  <c r="H102"/>
  <c r="H100"/>
  <c r="H98"/>
  <c r="H97"/>
  <c r="H95"/>
  <c r="H93"/>
  <c r="H91"/>
  <c r="H89"/>
  <c r="H87"/>
  <c r="H85"/>
  <c r="H83"/>
  <c r="H81"/>
  <c r="H79"/>
  <c r="H77"/>
  <c r="H75"/>
  <c r="H73"/>
  <c r="H71"/>
  <c r="H69"/>
  <c r="H67"/>
  <c r="H65"/>
  <c r="H63"/>
  <c r="H96"/>
  <c r="H94"/>
  <c r="H92"/>
  <c r="H90"/>
  <c r="H88"/>
  <c r="H86"/>
  <c r="H84"/>
  <c r="H82"/>
  <c r="H80"/>
  <c r="H78"/>
  <c r="H76"/>
  <c r="H74"/>
  <c r="H72"/>
  <c r="H70"/>
  <c r="H68"/>
  <c r="H66"/>
  <c r="H64"/>
  <c r="G114"/>
  <c r="G112"/>
  <c r="G110"/>
  <c r="G108"/>
  <c r="G106"/>
  <c r="G104"/>
  <c r="G102"/>
  <c r="G100"/>
  <c r="G98"/>
  <c r="G113"/>
  <c r="G111"/>
  <c r="G109"/>
  <c r="G107"/>
  <c r="G105"/>
  <c r="G103"/>
  <c r="G101"/>
  <c r="G99"/>
  <c r="G96"/>
  <c r="G94"/>
  <c r="G92"/>
  <c r="G90"/>
  <c r="G88"/>
  <c r="G86"/>
  <c r="G84"/>
  <c r="G82"/>
  <c r="G80"/>
  <c r="G78"/>
  <c r="G76"/>
  <c r="G74"/>
  <c r="G72"/>
  <c r="G70"/>
  <c r="G68"/>
  <c r="G66"/>
  <c r="G64"/>
  <c r="G62"/>
  <c r="G97"/>
  <c r="G95"/>
  <c r="G93"/>
  <c r="G91"/>
  <c r="G89"/>
  <c r="G87"/>
  <c r="G85"/>
  <c r="G83"/>
  <c r="G81"/>
  <c r="G79"/>
  <c r="G77"/>
  <c r="G75"/>
  <c r="G73"/>
  <c r="G71"/>
  <c r="G69"/>
  <c r="G67"/>
  <c r="G65"/>
  <c r="G63"/>
  <c r="F113"/>
  <c r="F111"/>
  <c r="F109"/>
  <c r="F107"/>
  <c r="F105"/>
  <c r="F103"/>
  <c r="F101"/>
  <c r="F99"/>
  <c r="F114"/>
  <c r="F112"/>
  <c r="F110"/>
  <c r="F108"/>
  <c r="F106"/>
  <c r="F104"/>
  <c r="F102"/>
  <c r="F100"/>
  <c r="F98"/>
  <c r="F97"/>
  <c r="F95"/>
  <c r="F93"/>
  <c r="F91"/>
  <c r="F89"/>
  <c r="F87"/>
  <c r="F85"/>
  <c r="F83"/>
  <c r="F81"/>
  <c r="F79"/>
  <c r="F77"/>
  <c r="F75"/>
  <c r="F73"/>
  <c r="F71"/>
  <c r="F69"/>
  <c r="F67"/>
  <c r="F65"/>
  <c r="F63"/>
  <c r="F96"/>
  <c r="F94"/>
  <c r="F92"/>
  <c r="F90"/>
  <c r="F88"/>
  <c r="F86"/>
  <c r="F84"/>
  <c r="F82"/>
  <c r="F80"/>
  <c r="F78"/>
  <c r="F76"/>
  <c r="F74"/>
  <c r="F72"/>
  <c r="F70"/>
  <c r="F68"/>
  <c r="F66"/>
  <c r="F64"/>
  <c r="K24"/>
  <c r="K13"/>
  <c r="K23"/>
  <c r="K10"/>
  <c r="K11"/>
  <c r="L9"/>
  <c r="K14"/>
  <c r="K22"/>
  <c r="K18"/>
  <c r="J18"/>
  <c r="J23"/>
  <c r="J19"/>
  <c r="J13"/>
  <c r="J17"/>
  <c r="J15"/>
  <c r="J16"/>
  <c r="J10"/>
  <c r="J11"/>
  <c r="J12"/>
  <c r="I26"/>
  <c r="I24"/>
  <c r="I13"/>
  <c r="I14"/>
  <c r="I22"/>
  <c r="I20"/>
  <c r="I10"/>
  <c r="I12"/>
  <c r="I23"/>
  <c r="D6" i="12"/>
  <c r="I1" i="14" s="1"/>
  <c r="G28" i="8"/>
  <c r="I28"/>
  <c r="K28"/>
  <c r="F29"/>
  <c r="H29"/>
  <c r="J29"/>
  <c r="G30"/>
  <c r="I30"/>
  <c r="K30"/>
  <c r="F31"/>
  <c r="H31"/>
  <c r="J31"/>
  <c r="G32"/>
  <c r="I32"/>
  <c r="K32"/>
  <c r="F33"/>
  <c r="H33"/>
  <c r="J33"/>
  <c r="G34"/>
  <c r="I34"/>
  <c r="K34"/>
  <c r="F35"/>
  <c r="H35"/>
  <c r="J35"/>
  <c r="G36"/>
  <c r="I36"/>
  <c r="K36"/>
  <c r="F37"/>
  <c r="H37"/>
  <c r="J37"/>
  <c r="G38"/>
  <c r="I38"/>
  <c r="K38"/>
  <c r="F39"/>
  <c r="H39"/>
  <c r="J39"/>
  <c r="G40"/>
  <c r="I40"/>
  <c r="K40"/>
  <c r="F41"/>
  <c r="H41"/>
  <c r="J41"/>
  <c r="G42"/>
  <c r="I42"/>
  <c r="K42"/>
  <c r="F43"/>
  <c r="H43"/>
  <c r="J43"/>
  <c r="G44"/>
  <c r="I44"/>
  <c r="K44"/>
  <c r="F45"/>
  <c r="H45"/>
  <c r="J45"/>
  <c r="G46"/>
  <c r="I46"/>
  <c r="K46"/>
  <c r="F47"/>
  <c r="H47"/>
  <c r="J47"/>
  <c r="G48"/>
  <c r="I48"/>
  <c r="K48"/>
  <c r="F49"/>
  <c r="H49"/>
  <c r="J49"/>
  <c r="G50"/>
  <c r="I50"/>
  <c r="K50"/>
  <c r="F51"/>
  <c r="H51"/>
  <c r="J51"/>
  <c r="G52"/>
  <c r="I52"/>
  <c r="K52"/>
  <c r="F53"/>
  <c r="H53"/>
  <c r="J53"/>
  <c r="G54"/>
  <c r="I54"/>
  <c r="K54"/>
  <c r="F55"/>
  <c r="H55"/>
  <c r="J55"/>
  <c r="G56"/>
  <c r="I56"/>
  <c r="K56"/>
  <c r="F57"/>
  <c r="H57"/>
  <c r="J57"/>
  <c r="G58"/>
  <c r="I58"/>
  <c r="K58"/>
  <c r="F59"/>
  <c r="H59"/>
  <c r="J59"/>
  <c r="G60"/>
  <c r="I60"/>
  <c r="K60"/>
  <c r="F61"/>
  <c r="H61"/>
  <c r="J61"/>
  <c r="H62"/>
  <c r="G174" i="17"/>
  <c r="G148"/>
  <c r="H89"/>
  <c r="H182"/>
  <c r="H123"/>
  <c r="G173"/>
  <c r="G172"/>
  <c r="H181"/>
  <c r="G121"/>
  <c r="E204"/>
  <c r="F216"/>
  <c r="G197"/>
  <c r="G203"/>
  <c r="F198"/>
  <c r="E203"/>
  <c r="G215"/>
  <c r="I9" i="12"/>
  <c r="H138" i="17"/>
  <c r="G149"/>
  <c r="G164"/>
  <c r="G220"/>
  <c r="G207"/>
  <c r="F160"/>
  <c r="F204"/>
  <c r="F217"/>
  <c r="F202"/>
  <c r="F215"/>
  <c r="E220"/>
  <c r="E207"/>
  <c r="E202"/>
  <c r="E215"/>
  <c r="G210" l="1"/>
  <c r="H224"/>
  <c r="H198" s="1"/>
  <c r="H207"/>
  <c r="H205"/>
  <c r="H201"/>
  <c r="H202"/>
  <c r="H208"/>
  <c r="H200"/>
  <c r="H223"/>
  <c r="H199"/>
  <c r="H180"/>
  <c r="H206"/>
  <c r="H120"/>
  <c r="G214"/>
  <c r="H197"/>
  <c r="G211"/>
  <c r="H210"/>
  <c r="G124"/>
  <c r="G133"/>
  <c r="G125"/>
  <c r="L113" i="8"/>
  <c r="L111"/>
  <c r="L109"/>
  <c r="L107"/>
  <c r="L105"/>
  <c r="L103"/>
  <c r="L101"/>
  <c r="L99"/>
  <c r="L114"/>
  <c r="L112"/>
  <c r="L110"/>
  <c r="L108"/>
  <c r="L106"/>
  <c r="L104"/>
  <c r="L102"/>
  <c r="L100"/>
  <c r="L98"/>
  <c r="L97"/>
  <c r="L95"/>
  <c r="L93"/>
  <c r="L91"/>
  <c r="L89"/>
  <c r="L87"/>
  <c r="L85"/>
  <c r="L83"/>
  <c r="L81"/>
  <c r="L79"/>
  <c r="L77"/>
  <c r="L75"/>
  <c r="L73"/>
  <c r="L71"/>
  <c r="L69"/>
  <c r="L67"/>
  <c r="L65"/>
  <c r="L63"/>
  <c r="L96"/>
  <c r="L94"/>
  <c r="L92"/>
  <c r="L90"/>
  <c r="L88"/>
  <c r="L86"/>
  <c r="L84"/>
  <c r="L82"/>
  <c r="L80"/>
  <c r="L78"/>
  <c r="L76"/>
  <c r="L74"/>
  <c r="L72"/>
  <c r="L70"/>
  <c r="L68"/>
  <c r="L66"/>
  <c r="L64"/>
  <c r="L62"/>
  <c r="L61"/>
  <c r="L59"/>
  <c r="L57"/>
  <c r="L55"/>
  <c r="L53"/>
  <c r="L51"/>
  <c r="L49"/>
  <c r="L47"/>
  <c r="L45"/>
  <c r="L43"/>
  <c r="L41"/>
  <c r="L39"/>
  <c r="L37"/>
  <c r="L35"/>
  <c r="L33"/>
  <c r="L31"/>
  <c r="L29"/>
  <c r="L22"/>
  <c r="L21"/>
  <c r="L24"/>
  <c r="L20"/>
  <c r="L25"/>
  <c r="L13"/>
  <c r="L11"/>
  <c r="L15"/>
  <c r="L14"/>
  <c r="L12"/>
  <c r="L60"/>
  <c r="L58"/>
  <c r="L56"/>
  <c r="L54"/>
  <c r="L52"/>
  <c r="L50"/>
  <c r="L48"/>
  <c r="L46"/>
  <c r="L44"/>
  <c r="L42"/>
  <c r="L40"/>
  <c r="L38"/>
  <c r="L36"/>
  <c r="L34"/>
  <c r="L32"/>
  <c r="L30"/>
  <c r="L28"/>
  <c r="L10"/>
  <c r="L19"/>
  <c r="L26"/>
  <c r="L18"/>
  <c r="M9"/>
  <c r="L17"/>
  <c r="L23"/>
  <c r="L27"/>
  <c r="L16"/>
  <c r="H173" i="17"/>
  <c r="H172"/>
  <c r="H148"/>
  <c r="H174"/>
  <c r="H121"/>
  <c r="H9" i="12"/>
  <c r="I58"/>
  <c r="J9"/>
  <c r="H212" i="17" l="1"/>
  <c r="H213"/>
  <c r="H214"/>
  <c r="H215"/>
  <c r="H211"/>
  <c r="M114" i="8"/>
  <c r="M112"/>
  <c r="M110"/>
  <c r="M108"/>
  <c r="M106"/>
  <c r="M104"/>
  <c r="M102"/>
  <c r="M100"/>
  <c r="M98"/>
  <c r="M113"/>
  <c r="M111"/>
  <c r="M109"/>
  <c r="M107"/>
  <c r="M105"/>
  <c r="M103"/>
  <c r="M101"/>
  <c r="M99"/>
  <c r="M96"/>
  <c r="M94"/>
  <c r="M92"/>
  <c r="M90"/>
  <c r="M88"/>
  <c r="M86"/>
  <c r="M84"/>
  <c r="M82"/>
  <c r="M80"/>
  <c r="M78"/>
  <c r="M76"/>
  <c r="M74"/>
  <c r="M72"/>
  <c r="M70"/>
  <c r="M68"/>
  <c r="M66"/>
  <c r="M64"/>
  <c r="M62"/>
  <c r="M97"/>
  <c r="M95"/>
  <c r="M93"/>
  <c r="M91"/>
  <c r="M89"/>
  <c r="M87"/>
  <c r="M85"/>
  <c r="M83"/>
  <c r="M81"/>
  <c r="M79"/>
  <c r="M77"/>
  <c r="M75"/>
  <c r="M73"/>
  <c r="M71"/>
  <c r="M69"/>
  <c r="M67"/>
  <c r="M65"/>
  <c r="M63"/>
  <c r="M60"/>
  <c r="M58"/>
  <c r="M56"/>
  <c r="M54"/>
  <c r="M52"/>
  <c r="M50"/>
  <c r="M48"/>
  <c r="M46"/>
  <c r="M44"/>
  <c r="M42"/>
  <c r="M40"/>
  <c r="M38"/>
  <c r="M36"/>
  <c r="M34"/>
  <c r="M32"/>
  <c r="M30"/>
  <c r="M28"/>
  <c r="M24"/>
  <c r="M22"/>
  <c r="M23"/>
  <c r="M19"/>
  <c r="M16"/>
  <c r="M13"/>
  <c r="M17"/>
  <c r="M26"/>
  <c r="M11"/>
  <c r="M61"/>
  <c r="M59"/>
  <c r="M57"/>
  <c r="M55"/>
  <c r="M53"/>
  <c r="M51"/>
  <c r="M49"/>
  <c r="M47"/>
  <c r="M45"/>
  <c r="M43"/>
  <c r="M41"/>
  <c r="M39"/>
  <c r="M37"/>
  <c r="M35"/>
  <c r="M33"/>
  <c r="M31"/>
  <c r="M29"/>
  <c r="M18"/>
  <c r="N9"/>
  <c r="M25"/>
  <c r="M20"/>
  <c r="M14"/>
  <c r="M21"/>
  <c r="M27"/>
  <c r="M15"/>
  <c r="M12"/>
  <c r="M10"/>
  <c r="K9" i="12"/>
  <c r="J58"/>
  <c r="G9"/>
  <c r="H58"/>
  <c r="N113" i="8" l="1"/>
  <c r="N111"/>
  <c r="N109"/>
  <c r="N107"/>
  <c r="N105"/>
  <c r="N103"/>
  <c r="N101"/>
  <c r="N99"/>
  <c r="N114"/>
  <c r="N112"/>
  <c r="N110"/>
  <c r="N108"/>
  <c r="N106"/>
  <c r="N104"/>
  <c r="N102"/>
  <c r="N100"/>
  <c r="N98"/>
  <c r="N97"/>
  <c r="N95"/>
  <c r="N93"/>
  <c r="N91"/>
  <c r="N89"/>
  <c r="N87"/>
  <c r="N85"/>
  <c r="N83"/>
  <c r="N81"/>
  <c r="N79"/>
  <c r="N77"/>
  <c r="N75"/>
  <c r="N73"/>
  <c r="N71"/>
  <c r="N69"/>
  <c r="N67"/>
  <c r="N65"/>
  <c r="N63"/>
  <c r="N96"/>
  <c r="N94"/>
  <c r="N92"/>
  <c r="N90"/>
  <c r="N88"/>
  <c r="N86"/>
  <c r="N84"/>
  <c r="N82"/>
  <c r="N80"/>
  <c r="N78"/>
  <c r="N76"/>
  <c r="N74"/>
  <c r="N72"/>
  <c r="N70"/>
  <c r="N68"/>
  <c r="N66"/>
  <c r="N64"/>
  <c r="N62"/>
  <c r="N61"/>
  <c r="N59"/>
  <c r="N57"/>
  <c r="N55"/>
  <c r="N53"/>
  <c r="N51"/>
  <c r="N49"/>
  <c r="N47"/>
  <c r="N45"/>
  <c r="N43"/>
  <c r="N41"/>
  <c r="N39"/>
  <c r="N37"/>
  <c r="N35"/>
  <c r="N33"/>
  <c r="N31"/>
  <c r="N29"/>
  <c r="N11"/>
  <c r="N18"/>
  <c r="N21"/>
  <c r="N22"/>
  <c r="N17"/>
  <c r="N26"/>
  <c r="N27"/>
  <c r="N12"/>
  <c r="N19"/>
  <c r="N13"/>
  <c r="N60"/>
  <c r="N58"/>
  <c r="N56"/>
  <c r="N54"/>
  <c r="N52"/>
  <c r="N50"/>
  <c r="N48"/>
  <c r="N46"/>
  <c r="N44"/>
  <c r="N42"/>
  <c r="N40"/>
  <c r="N38"/>
  <c r="N36"/>
  <c r="N34"/>
  <c r="N32"/>
  <c r="N30"/>
  <c r="N28"/>
  <c r="N15"/>
  <c r="O9"/>
  <c r="N25"/>
  <c r="N24"/>
  <c r="N23"/>
  <c r="N10"/>
  <c r="N14"/>
  <c r="N20"/>
  <c r="N16"/>
  <c r="G192" i="17"/>
  <c r="G191"/>
  <c r="F9" i="12"/>
  <c r="G58"/>
  <c r="L9"/>
  <c r="K58"/>
  <c r="O114" i="8" l="1"/>
  <c r="O112"/>
  <c r="O110"/>
  <c r="O108"/>
  <c r="O106"/>
  <c r="O104"/>
  <c r="O102"/>
  <c r="O100"/>
  <c r="O98"/>
  <c r="O113"/>
  <c r="O111"/>
  <c r="O109"/>
  <c r="O107"/>
  <c r="O105"/>
  <c r="O103"/>
  <c r="O101"/>
  <c r="O99"/>
  <c r="O96"/>
  <c r="O94"/>
  <c r="O92"/>
  <c r="O90"/>
  <c r="O88"/>
  <c r="O86"/>
  <c r="O84"/>
  <c r="O82"/>
  <c r="O80"/>
  <c r="O78"/>
  <c r="O76"/>
  <c r="O74"/>
  <c r="O72"/>
  <c r="O70"/>
  <c r="O68"/>
  <c r="O66"/>
  <c r="O64"/>
  <c r="O62"/>
  <c r="O97"/>
  <c r="O95"/>
  <c r="O93"/>
  <c r="O91"/>
  <c r="O89"/>
  <c r="O87"/>
  <c r="O85"/>
  <c r="O83"/>
  <c r="O81"/>
  <c r="O79"/>
  <c r="O77"/>
  <c r="O75"/>
  <c r="O73"/>
  <c r="O71"/>
  <c r="O69"/>
  <c r="O67"/>
  <c r="O65"/>
  <c r="O63"/>
  <c r="O60"/>
  <c r="O58"/>
  <c r="O56"/>
  <c r="O54"/>
  <c r="O52"/>
  <c r="O50"/>
  <c r="O48"/>
  <c r="O46"/>
  <c r="O44"/>
  <c r="O42"/>
  <c r="O40"/>
  <c r="O38"/>
  <c r="O36"/>
  <c r="O34"/>
  <c r="O32"/>
  <c r="O30"/>
  <c r="O28"/>
  <c r="O12"/>
  <c r="O13"/>
  <c r="O24"/>
  <c r="O26"/>
  <c r="O17"/>
  <c r="O11"/>
  <c r="O25"/>
  <c r="O20"/>
  <c r="O22"/>
  <c r="O61"/>
  <c r="O59"/>
  <c r="O57"/>
  <c r="O55"/>
  <c r="O53"/>
  <c r="O51"/>
  <c r="O49"/>
  <c r="O47"/>
  <c r="O45"/>
  <c r="O43"/>
  <c r="O41"/>
  <c r="O39"/>
  <c r="O37"/>
  <c r="O35"/>
  <c r="O33"/>
  <c r="O31"/>
  <c r="O29"/>
  <c r="O16"/>
  <c r="O23"/>
  <c r="O14"/>
  <c r="O10"/>
  <c r="O27"/>
  <c r="P9"/>
  <c r="O15"/>
  <c r="O21"/>
  <c r="O18"/>
  <c r="O19"/>
  <c r="G189" i="17"/>
  <c r="G190"/>
  <c r="M9" i="12"/>
  <c r="L58"/>
  <c r="H189" i="17"/>
  <c r="H190"/>
  <c r="E9" i="12"/>
  <c r="E58" s="1"/>
  <c r="F58"/>
  <c r="H191" i="17"/>
  <c r="H192"/>
  <c r="P113" i="8" l="1"/>
  <c r="P111"/>
  <c r="P109"/>
  <c r="P107"/>
  <c r="P105"/>
  <c r="P103"/>
  <c r="P101"/>
  <c r="P99"/>
  <c r="P97"/>
  <c r="P114"/>
  <c r="P112"/>
  <c r="P110"/>
  <c r="P108"/>
  <c r="P106"/>
  <c r="P104"/>
  <c r="P102"/>
  <c r="P100"/>
  <c r="P98"/>
  <c r="P95"/>
  <c r="P93"/>
  <c r="P91"/>
  <c r="P89"/>
  <c r="P87"/>
  <c r="P85"/>
  <c r="P83"/>
  <c r="P81"/>
  <c r="P79"/>
  <c r="P77"/>
  <c r="P75"/>
  <c r="P73"/>
  <c r="P71"/>
  <c r="P69"/>
  <c r="P67"/>
  <c r="P65"/>
  <c r="P63"/>
  <c r="P96"/>
  <c r="P94"/>
  <c r="P92"/>
  <c r="P90"/>
  <c r="P88"/>
  <c r="P86"/>
  <c r="P84"/>
  <c r="P82"/>
  <c r="P80"/>
  <c r="P78"/>
  <c r="P76"/>
  <c r="P74"/>
  <c r="P72"/>
  <c r="P70"/>
  <c r="P68"/>
  <c r="P66"/>
  <c r="P64"/>
  <c r="P62"/>
  <c r="P61"/>
  <c r="P59"/>
  <c r="P57"/>
  <c r="P55"/>
  <c r="P53"/>
  <c r="P51"/>
  <c r="P49"/>
  <c r="P47"/>
  <c r="P45"/>
  <c r="P43"/>
  <c r="P41"/>
  <c r="P39"/>
  <c r="P37"/>
  <c r="P35"/>
  <c r="P33"/>
  <c r="P31"/>
  <c r="P29"/>
  <c r="P10"/>
  <c r="P15"/>
  <c r="Q9"/>
  <c r="P12"/>
  <c r="P23"/>
  <c r="P27"/>
  <c r="P17"/>
  <c r="P22"/>
  <c r="P25"/>
  <c r="P26"/>
  <c r="P60"/>
  <c r="P58"/>
  <c r="P56"/>
  <c r="P54"/>
  <c r="P52"/>
  <c r="P50"/>
  <c r="P48"/>
  <c r="P46"/>
  <c r="P44"/>
  <c r="P42"/>
  <c r="P40"/>
  <c r="P38"/>
  <c r="P36"/>
  <c r="P34"/>
  <c r="P32"/>
  <c r="P30"/>
  <c r="P28"/>
  <c r="P20"/>
  <c r="P11"/>
  <c r="P19"/>
  <c r="P14"/>
  <c r="P21"/>
  <c r="P13"/>
  <c r="P18"/>
  <c r="P16"/>
  <c r="P24"/>
  <c r="E190" i="17"/>
  <c r="E189"/>
  <c r="F191"/>
  <c r="F192"/>
  <c r="M58" i="12"/>
  <c r="N9"/>
  <c r="F189" i="17"/>
  <c r="F190"/>
  <c r="E191"/>
  <c r="E192" l="1"/>
  <c r="Q114" i="8"/>
  <c r="Q112"/>
  <c r="Q110"/>
  <c r="Q108"/>
  <c r="Q106"/>
  <c r="Q104"/>
  <c r="Q102"/>
  <c r="Q100"/>
  <c r="Q98"/>
  <c r="Q113"/>
  <c r="Q111"/>
  <c r="Q109"/>
  <c r="Q107"/>
  <c r="Q105"/>
  <c r="Q103"/>
  <c r="Q101"/>
  <c r="Q99"/>
  <c r="Q97"/>
  <c r="Q96"/>
  <c r="Q94"/>
  <c r="Q92"/>
  <c r="Q90"/>
  <c r="Q88"/>
  <c r="Q86"/>
  <c r="Q84"/>
  <c r="Q82"/>
  <c r="Q80"/>
  <c r="Q78"/>
  <c r="Q76"/>
  <c r="Q74"/>
  <c r="Q72"/>
  <c r="Q70"/>
  <c r="Q68"/>
  <c r="Q66"/>
  <c r="Q64"/>
  <c r="Q62"/>
  <c r="Q95"/>
  <c r="Q93"/>
  <c r="Q91"/>
  <c r="Q89"/>
  <c r="Q87"/>
  <c r="Q85"/>
  <c r="Q83"/>
  <c r="Q81"/>
  <c r="Q79"/>
  <c r="Q77"/>
  <c r="Q75"/>
  <c r="Q73"/>
  <c r="Q71"/>
  <c r="Q69"/>
  <c r="Q67"/>
  <c r="Q65"/>
  <c r="Q63"/>
  <c r="Q60"/>
  <c r="Q58"/>
  <c r="Q56"/>
  <c r="Q54"/>
  <c r="Q52"/>
  <c r="Q50"/>
  <c r="Q48"/>
  <c r="Q46"/>
  <c r="Q44"/>
  <c r="Q42"/>
  <c r="Q40"/>
  <c r="Q38"/>
  <c r="Q36"/>
  <c r="Q34"/>
  <c r="Q32"/>
  <c r="Q30"/>
  <c r="Q28"/>
  <c r="Q15"/>
  <c r="Q21"/>
  <c r="Q11"/>
  <c r="Q25"/>
  <c r="Q13"/>
  <c r="Q14"/>
  <c r="Q27"/>
  <c r="Q16"/>
  <c r="Q24"/>
  <c r="Q61"/>
  <c r="Q59"/>
  <c r="Q57"/>
  <c r="Q55"/>
  <c r="Q53"/>
  <c r="Q51"/>
  <c r="Q49"/>
  <c r="Q47"/>
  <c r="Q45"/>
  <c r="Q43"/>
  <c r="Q41"/>
  <c r="Q39"/>
  <c r="Q37"/>
  <c r="Q35"/>
  <c r="Q33"/>
  <c r="Q31"/>
  <c r="Q29"/>
  <c r="Q19"/>
  <c r="Q20"/>
  <c r="Q26"/>
  <c r="Q12"/>
  <c r="Q10"/>
  <c r="Q18"/>
  <c r="Q22"/>
  <c r="R9"/>
  <c r="Q23"/>
  <c r="Q17"/>
  <c r="O9" i="12"/>
  <c r="N58"/>
  <c r="R113" i="8" l="1"/>
  <c r="R111"/>
  <c r="R109"/>
  <c r="R107"/>
  <c r="R105"/>
  <c r="R103"/>
  <c r="R101"/>
  <c r="R99"/>
  <c r="R97"/>
  <c r="R114"/>
  <c r="R112"/>
  <c r="R110"/>
  <c r="R108"/>
  <c r="R106"/>
  <c r="R104"/>
  <c r="R102"/>
  <c r="R100"/>
  <c r="R98"/>
  <c r="R95"/>
  <c r="R93"/>
  <c r="R91"/>
  <c r="R89"/>
  <c r="R87"/>
  <c r="R85"/>
  <c r="R83"/>
  <c r="R81"/>
  <c r="R79"/>
  <c r="R77"/>
  <c r="R75"/>
  <c r="R73"/>
  <c r="R71"/>
  <c r="R69"/>
  <c r="R67"/>
  <c r="R65"/>
  <c r="R63"/>
  <c r="R96"/>
  <c r="R94"/>
  <c r="R92"/>
  <c r="R90"/>
  <c r="R88"/>
  <c r="R86"/>
  <c r="R84"/>
  <c r="R82"/>
  <c r="R80"/>
  <c r="R78"/>
  <c r="R76"/>
  <c r="R74"/>
  <c r="R72"/>
  <c r="R70"/>
  <c r="R68"/>
  <c r="R66"/>
  <c r="R64"/>
  <c r="R62"/>
  <c r="R61"/>
  <c r="R59"/>
  <c r="R57"/>
  <c r="R55"/>
  <c r="R53"/>
  <c r="R51"/>
  <c r="R49"/>
  <c r="R47"/>
  <c r="R45"/>
  <c r="R43"/>
  <c r="R41"/>
  <c r="R39"/>
  <c r="R37"/>
  <c r="R35"/>
  <c r="R33"/>
  <c r="R31"/>
  <c r="R29"/>
  <c r="R23"/>
  <c r="S9"/>
  <c r="R24"/>
  <c r="R13"/>
  <c r="R15"/>
  <c r="R17"/>
  <c r="R16"/>
  <c r="R10"/>
  <c r="R11"/>
  <c r="R22"/>
  <c r="R60"/>
  <c r="R58"/>
  <c r="R56"/>
  <c r="R54"/>
  <c r="R52"/>
  <c r="R50"/>
  <c r="R48"/>
  <c r="R46"/>
  <c r="R44"/>
  <c r="R42"/>
  <c r="R40"/>
  <c r="R38"/>
  <c r="R36"/>
  <c r="R34"/>
  <c r="R32"/>
  <c r="R30"/>
  <c r="R28"/>
  <c r="R19"/>
  <c r="R14"/>
  <c r="R21"/>
  <c r="R26"/>
  <c r="R12"/>
  <c r="R18"/>
  <c r="R27"/>
  <c r="R25"/>
  <c r="R20"/>
  <c r="O58" i="12"/>
  <c r="P9"/>
  <c r="S114" i="8" l="1"/>
  <c r="S112"/>
  <c r="S110"/>
  <c r="S108"/>
  <c r="S106"/>
  <c r="S104"/>
  <c r="S102"/>
  <c r="S100"/>
  <c r="S98"/>
  <c r="S113"/>
  <c r="S111"/>
  <c r="S109"/>
  <c r="S107"/>
  <c r="S105"/>
  <c r="S103"/>
  <c r="S101"/>
  <c r="S99"/>
  <c r="S97"/>
  <c r="S96"/>
  <c r="S94"/>
  <c r="S92"/>
  <c r="S90"/>
  <c r="S88"/>
  <c r="S86"/>
  <c r="S84"/>
  <c r="S82"/>
  <c r="S80"/>
  <c r="S78"/>
  <c r="S76"/>
  <c r="S74"/>
  <c r="S72"/>
  <c r="S70"/>
  <c r="S68"/>
  <c r="S66"/>
  <c r="S64"/>
  <c r="S62"/>
  <c r="S95"/>
  <c r="S93"/>
  <c r="S91"/>
  <c r="S89"/>
  <c r="S87"/>
  <c r="S85"/>
  <c r="S83"/>
  <c r="S81"/>
  <c r="S79"/>
  <c r="S77"/>
  <c r="S75"/>
  <c r="S73"/>
  <c r="S71"/>
  <c r="S69"/>
  <c r="S67"/>
  <c r="S65"/>
  <c r="S63"/>
  <c r="S60"/>
  <c r="S58"/>
  <c r="S56"/>
  <c r="S54"/>
  <c r="S52"/>
  <c r="S50"/>
  <c r="S48"/>
  <c r="S46"/>
  <c r="S44"/>
  <c r="S42"/>
  <c r="S40"/>
  <c r="S38"/>
  <c r="S36"/>
  <c r="S34"/>
  <c r="S32"/>
  <c r="S30"/>
  <c r="S28"/>
  <c r="S15"/>
  <c r="S11"/>
  <c r="S23"/>
  <c r="S20"/>
  <c r="S17"/>
  <c r="S19"/>
  <c r="S24"/>
  <c r="S18"/>
  <c r="S13"/>
  <c r="S61"/>
  <c r="S59"/>
  <c r="S57"/>
  <c r="S55"/>
  <c r="S53"/>
  <c r="S51"/>
  <c r="S49"/>
  <c r="S47"/>
  <c r="S45"/>
  <c r="S43"/>
  <c r="S41"/>
  <c r="S39"/>
  <c r="S37"/>
  <c r="S35"/>
  <c r="S33"/>
  <c r="S31"/>
  <c r="S29"/>
  <c r="S14"/>
  <c r="S12"/>
  <c r="S22"/>
  <c r="S16"/>
  <c r="T9"/>
  <c r="S21"/>
  <c r="S27"/>
  <c r="S25"/>
  <c r="S10"/>
  <c r="S26"/>
  <c r="Q9" i="12"/>
  <c r="P58"/>
  <c r="T113" i="8" l="1"/>
  <c r="T111"/>
  <c r="T109"/>
  <c r="T107"/>
  <c r="T105"/>
  <c r="T103"/>
  <c r="T101"/>
  <c r="T99"/>
  <c r="T97"/>
  <c r="T114"/>
  <c r="T112"/>
  <c r="T110"/>
  <c r="T108"/>
  <c r="T106"/>
  <c r="T104"/>
  <c r="T102"/>
  <c r="T100"/>
  <c r="T98"/>
  <c r="T95"/>
  <c r="T93"/>
  <c r="T91"/>
  <c r="T89"/>
  <c r="T87"/>
  <c r="T85"/>
  <c r="T83"/>
  <c r="T81"/>
  <c r="T79"/>
  <c r="T77"/>
  <c r="T75"/>
  <c r="T73"/>
  <c r="T71"/>
  <c r="T69"/>
  <c r="T67"/>
  <c r="T65"/>
  <c r="T63"/>
  <c r="T96"/>
  <c r="T94"/>
  <c r="T92"/>
  <c r="T90"/>
  <c r="T88"/>
  <c r="T86"/>
  <c r="T84"/>
  <c r="T82"/>
  <c r="T80"/>
  <c r="T78"/>
  <c r="T76"/>
  <c r="T74"/>
  <c r="T72"/>
  <c r="T70"/>
  <c r="T68"/>
  <c r="T66"/>
  <c r="T64"/>
  <c r="T62"/>
  <c r="T61"/>
  <c r="T59"/>
  <c r="T57"/>
  <c r="T55"/>
  <c r="T53"/>
  <c r="T51"/>
  <c r="T49"/>
  <c r="T47"/>
  <c r="T45"/>
  <c r="T43"/>
  <c r="T41"/>
  <c r="T39"/>
  <c r="T37"/>
  <c r="T35"/>
  <c r="T33"/>
  <c r="T31"/>
  <c r="T29"/>
  <c r="T23"/>
  <c r="T18"/>
  <c r="T14"/>
  <c r="T27"/>
  <c r="T19"/>
  <c r="T26"/>
  <c r="T21"/>
  <c r="T16"/>
  <c r="U9"/>
  <c r="T13"/>
  <c r="T60"/>
  <c r="T58"/>
  <c r="T56"/>
  <c r="T54"/>
  <c r="T52"/>
  <c r="T50"/>
  <c r="T48"/>
  <c r="T46"/>
  <c r="T44"/>
  <c r="T42"/>
  <c r="T40"/>
  <c r="T38"/>
  <c r="T36"/>
  <c r="T34"/>
  <c r="T32"/>
  <c r="T30"/>
  <c r="T28"/>
  <c r="T15"/>
  <c r="T20"/>
  <c r="T10"/>
  <c r="T11"/>
  <c r="T22"/>
  <c r="T25"/>
  <c r="T12"/>
  <c r="T17"/>
  <c r="T24"/>
  <c r="Q58" i="12"/>
  <c r="U114" i="8" l="1"/>
  <c r="U112"/>
  <c r="U110"/>
  <c r="U108"/>
  <c r="U106"/>
  <c r="U104"/>
  <c r="U102"/>
  <c r="U100"/>
  <c r="U98"/>
  <c r="U113"/>
  <c r="U111"/>
  <c r="U109"/>
  <c r="U107"/>
  <c r="U105"/>
  <c r="U103"/>
  <c r="U101"/>
  <c r="U99"/>
  <c r="U97"/>
  <c r="U96"/>
  <c r="U94"/>
  <c r="U92"/>
  <c r="U90"/>
  <c r="U88"/>
  <c r="U86"/>
  <c r="U84"/>
  <c r="U82"/>
  <c r="U80"/>
  <c r="U78"/>
  <c r="U76"/>
  <c r="U74"/>
  <c r="U72"/>
  <c r="U70"/>
  <c r="U68"/>
  <c r="U66"/>
  <c r="U64"/>
  <c r="U62"/>
  <c r="U95"/>
  <c r="U93"/>
  <c r="U91"/>
  <c r="U89"/>
  <c r="U87"/>
  <c r="U85"/>
  <c r="U83"/>
  <c r="U81"/>
  <c r="U79"/>
  <c r="U77"/>
  <c r="U75"/>
  <c r="U73"/>
  <c r="U71"/>
  <c r="U69"/>
  <c r="U67"/>
  <c r="U65"/>
  <c r="U63"/>
  <c r="U60"/>
  <c r="U58"/>
  <c r="U56"/>
  <c r="U54"/>
  <c r="U52"/>
  <c r="U50"/>
  <c r="U48"/>
  <c r="U46"/>
  <c r="U44"/>
  <c r="U42"/>
  <c r="U40"/>
  <c r="U38"/>
  <c r="U36"/>
  <c r="U34"/>
  <c r="U32"/>
  <c r="U30"/>
  <c r="U28"/>
  <c r="U17"/>
  <c r="U24"/>
  <c r="U25"/>
  <c r="U12"/>
  <c r="U16"/>
  <c r="U14"/>
  <c r="U26"/>
  <c r="U20"/>
  <c r="U11"/>
  <c r="U61"/>
  <c r="U59"/>
  <c r="U57"/>
  <c r="U55"/>
  <c r="U53"/>
  <c r="U51"/>
  <c r="U49"/>
  <c r="U47"/>
  <c r="U45"/>
  <c r="U43"/>
  <c r="U41"/>
  <c r="U39"/>
  <c r="U37"/>
  <c r="U35"/>
  <c r="U33"/>
  <c r="U31"/>
  <c r="U29"/>
  <c r="U18"/>
  <c r="V9"/>
  <c r="U27"/>
  <c r="U13"/>
  <c r="U23"/>
  <c r="U19"/>
  <c r="U22"/>
  <c r="U10"/>
  <c r="U15"/>
  <c r="U21"/>
  <c r="V113" l="1"/>
  <c r="V111"/>
  <c r="V109"/>
  <c r="V107"/>
  <c r="V105"/>
  <c r="V103"/>
  <c r="V101"/>
  <c r="V99"/>
  <c r="V97"/>
  <c r="V114"/>
  <c r="V112"/>
  <c r="V110"/>
  <c r="V108"/>
  <c r="V106"/>
  <c r="V104"/>
  <c r="V102"/>
  <c r="V100"/>
  <c r="V98"/>
  <c r="V95"/>
  <c r="V93"/>
  <c r="V91"/>
  <c r="V89"/>
  <c r="V87"/>
  <c r="V85"/>
  <c r="V83"/>
  <c r="V81"/>
  <c r="V79"/>
  <c r="V77"/>
  <c r="V75"/>
  <c r="V73"/>
  <c r="V71"/>
  <c r="V69"/>
  <c r="V67"/>
  <c r="V65"/>
  <c r="V63"/>
  <c r="V96"/>
  <c r="V94"/>
  <c r="V92"/>
  <c r="V90"/>
  <c r="V88"/>
  <c r="V86"/>
  <c r="V84"/>
  <c r="V82"/>
  <c r="V80"/>
  <c r="V78"/>
  <c r="V76"/>
  <c r="V74"/>
  <c r="V72"/>
  <c r="V70"/>
  <c r="V68"/>
  <c r="V66"/>
  <c r="V64"/>
  <c r="V62"/>
  <c r="V61"/>
  <c r="V59"/>
  <c r="V57"/>
  <c r="V55"/>
  <c r="V53"/>
  <c r="V51"/>
  <c r="V49"/>
  <c r="V47"/>
  <c r="V45"/>
  <c r="V43"/>
  <c r="V41"/>
  <c r="V39"/>
  <c r="V37"/>
  <c r="V35"/>
  <c r="V33"/>
  <c r="V31"/>
  <c r="V29"/>
  <c r="V12"/>
  <c r="V20"/>
  <c r="V26"/>
  <c r="V15"/>
  <c r="V24"/>
  <c r="V18"/>
  <c r="V25"/>
  <c r="V21"/>
  <c r="W9"/>
  <c r="V10"/>
  <c r="V60"/>
  <c r="V58"/>
  <c r="V56"/>
  <c r="V54"/>
  <c r="V52"/>
  <c r="V50"/>
  <c r="V48"/>
  <c r="V46"/>
  <c r="V44"/>
  <c r="V42"/>
  <c r="V40"/>
  <c r="V38"/>
  <c r="V36"/>
  <c r="V34"/>
  <c r="V32"/>
  <c r="V30"/>
  <c r="V28"/>
  <c r="V22"/>
  <c r="V14"/>
  <c r="V16"/>
  <c r="V23"/>
  <c r="V13"/>
  <c r="V19"/>
  <c r="V11"/>
  <c r="V27"/>
  <c r="V17"/>
  <c r="W114" l="1"/>
  <c r="W112"/>
  <c r="W110"/>
  <c r="W108"/>
  <c r="W106"/>
  <c r="W104"/>
  <c r="W102"/>
  <c r="W100"/>
  <c r="W98"/>
  <c r="W113"/>
  <c r="W111"/>
  <c r="W109"/>
  <c r="W107"/>
  <c r="W105"/>
  <c r="W103"/>
  <c r="W101"/>
  <c r="W99"/>
  <c r="W97"/>
  <c r="W96"/>
  <c r="W94"/>
  <c r="W92"/>
  <c r="W90"/>
  <c r="W88"/>
  <c r="W86"/>
  <c r="W84"/>
  <c r="W82"/>
  <c r="W80"/>
  <c r="W78"/>
  <c r="W76"/>
  <c r="W74"/>
  <c r="W72"/>
  <c r="W70"/>
  <c r="W68"/>
  <c r="W66"/>
  <c r="W64"/>
  <c r="W62"/>
  <c r="W95"/>
  <c r="W93"/>
  <c r="W91"/>
  <c r="W89"/>
  <c r="W87"/>
  <c r="W85"/>
  <c r="W83"/>
  <c r="W81"/>
  <c r="W79"/>
  <c r="W77"/>
  <c r="W75"/>
  <c r="W73"/>
  <c r="W71"/>
  <c r="W69"/>
  <c r="W67"/>
  <c r="W65"/>
  <c r="W63"/>
  <c r="W60"/>
  <c r="W58"/>
  <c r="W56"/>
  <c r="W54"/>
  <c r="W52"/>
  <c r="W50"/>
  <c r="W48"/>
  <c r="W46"/>
  <c r="W44"/>
  <c r="W42"/>
  <c r="W40"/>
  <c r="W38"/>
  <c r="W36"/>
  <c r="W34"/>
  <c r="W32"/>
  <c r="W30"/>
  <c r="W28"/>
  <c r="W10"/>
  <c r="W20"/>
  <c r="W11"/>
  <c r="W16"/>
  <c r="X9"/>
  <c r="W23"/>
  <c r="W26"/>
  <c r="W24"/>
  <c r="W21"/>
  <c r="W61"/>
  <c r="W59"/>
  <c r="W57"/>
  <c r="W55"/>
  <c r="W53"/>
  <c r="W51"/>
  <c r="W49"/>
  <c r="W47"/>
  <c r="W45"/>
  <c r="W43"/>
  <c r="W41"/>
  <c r="W39"/>
  <c r="W37"/>
  <c r="W35"/>
  <c r="W33"/>
  <c r="W31"/>
  <c r="W29"/>
  <c r="W27"/>
  <c r="W12"/>
  <c r="W15"/>
  <c r="W18"/>
  <c r="W13"/>
  <c r="W14"/>
  <c r="W22"/>
  <c r="W19"/>
  <c r="W25"/>
  <c r="W17"/>
  <c r="X113" l="1"/>
  <c r="X111"/>
  <c r="X109"/>
  <c r="X107"/>
  <c r="X105"/>
  <c r="X103"/>
  <c r="X101"/>
  <c r="X99"/>
  <c r="X97"/>
  <c r="X114"/>
  <c r="X112"/>
  <c r="X110"/>
  <c r="X108"/>
  <c r="X106"/>
  <c r="X104"/>
  <c r="X102"/>
  <c r="X100"/>
  <c r="X98"/>
  <c r="X95"/>
  <c r="X93"/>
  <c r="X91"/>
  <c r="X89"/>
  <c r="X87"/>
  <c r="X85"/>
  <c r="X83"/>
  <c r="X81"/>
  <c r="X79"/>
  <c r="X77"/>
  <c r="X75"/>
  <c r="X73"/>
  <c r="X71"/>
  <c r="X69"/>
  <c r="X67"/>
  <c r="X65"/>
  <c r="X63"/>
  <c r="X96"/>
  <c r="X94"/>
  <c r="X92"/>
  <c r="X90"/>
  <c r="X88"/>
  <c r="X86"/>
  <c r="X84"/>
  <c r="X82"/>
  <c r="X80"/>
  <c r="X78"/>
  <c r="X76"/>
  <c r="X74"/>
  <c r="X72"/>
  <c r="X70"/>
  <c r="X68"/>
  <c r="X66"/>
  <c r="X64"/>
  <c r="X62"/>
  <c r="X61"/>
  <c r="X59"/>
  <c r="X57"/>
  <c r="X55"/>
  <c r="X53"/>
  <c r="X51"/>
  <c r="X49"/>
  <c r="X47"/>
  <c r="X45"/>
  <c r="X43"/>
  <c r="X41"/>
  <c r="X39"/>
  <c r="X37"/>
  <c r="X35"/>
  <c r="X33"/>
  <c r="X31"/>
  <c r="X29"/>
  <c r="X20"/>
  <c r="X22"/>
  <c r="X14"/>
  <c r="X18"/>
  <c r="X12"/>
  <c r="X16"/>
  <c r="X19"/>
  <c r="X11"/>
  <c r="X26"/>
  <c r="X10"/>
  <c r="X60"/>
  <c r="X58"/>
  <c r="X56"/>
  <c r="X54"/>
  <c r="X52"/>
  <c r="X50"/>
  <c r="X48"/>
  <c r="X46"/>
  <c r="X44"/>
  <c r="X42"/>
  <c r="X40"/>
  <c r="X38"/>
  <c r="X36"/>
  <c r="X34"/>
  <c r="X32"/>
  <c r="X30"/>
  <c r="X28"/>
  <c r="X13"/>
  <c r="X24"/>
  <c r="X27"/>
  <c r="X25"/>
  <c r="X23"/>
  <c r="X15"/>
  <c r="Y9"/>
  <c r="X17"/>
  <c r="X21"/>
  <c r="Y114" l="1"/>
  <c r="Y112"/>
  <c r="Y110"/>
  <c r="Y108"/>
  <c r="Y106"/>
  <c r="Y104"/>
  <c r="Y102"/>
  <c r="Y100"/>
  <c r="Y98"/>
  <c r="Y113"/>
  <c r="Y111"/>
  <c r="Y109"/>
  <c r="Y107"/>
  <c r="Y105"/>
  <c r="Y103"/>
  <c r="Y101"/>
  <c r="Y99"/>
  <c r="Y97"/>
  <c r="Y96"/>
  <c r="Y94"/>
  <c r="Y92"/>
  <c r="Y90"/>
  <c r="Y88"/>
  <c r="Y86"/>
  <c r="Y84"/>
  <c r="Y82"/>
  <c r="Y80"/>
  <c r="Y78"/>
  <c r="Y76"/>
  <c r="Y74"/>
  <c r="Y72"/>
  <c r="Y70"/>
  <c r="Y68"/>
  <c r="Y66"/>
  <c r="Y64"/>
  <c r="Y62"/>
  <c r="Y95"/>
  <c r="Y93"/>
  <c r="Y91"/>
  <c r="Y89"/>
  <c r="Y87"/>
  <c r="Y85"/>
  <c r="Y83"/>
  <c r="Y81"/>
  <c r="Y79"/>
  <c r="Y77"/>
  <c r="Y75"/>
  <c r="Y73"/>
  <c r="Y71"/>
  <c r="Y69"/>
  <c r="Y67"/>
  <c r="Y65"/>
  <c r="Y63"/>
  <c r="Y60"/>
  <c r="Y58"/>
  <c r="Y56"/>
  <c r="Y54"/>
  <c r="Y52"/>
  <c r="Y50"/>
  <c r="Y48"/>
  <c r="Y46"/>
  <c r="Y44"/>
  <c r="Y42"/>
  <c r="Y40"/>
  <c r="Y38"/>
  <c r="Y36"/>
  <c r="Y34"/>
  <c r="Y32"/>
  <c r="Y30"/>
  <c r="Y28"/>
  <c r="Y15"/>
  <c r="Y25"/>
  <c r="Y19"/>
  <c r="Y21"/>
  <c r="Z9"/>
  <c r="Y23"/>
  <c r="Y18"/>
  <c r="Y14"/>
  <c r="Y27"/>
  <c r="Y61"/>
  <c r="Y59"/>
  <c r="Y57"/>
  <c r="Y55"/>
  <c r="Y53"/>
  <c r="Y51"/>
  <c r="Y49"/>
  <c r="Y47"/>
  <c r="Y45"/>
  <c r="Y43"/>
  <c r="Y41"/>
  <c r="Y39"/>
  <c r="Y37"/>
  <c r="Y35"/>
  <c r="Y33"/>
  <c r="Y31"/>
  <c r="Y29"/>
  <c r="Y22"/>
  <c r="Y20"/>
  <c r="Y17"/>
  <c r="Y12"/>
  <c r="Y26"/>
  <c r="Y24"/>
  <c r="Y16"/>
  <c r="Y13"/>
  <c r="Y10"/>
  <c r="Y11"/>
  <c r="Z113" l="1"/>
  <c r="Z111"/>
  <c r="Z109"/>
  <c r="Z107"/>
  <c r="Z105"/>
  <c r="Z103"/>
  <c r="Z101"/>
  <c r="Z99"/>
  <c r="Z97"/>
  <c r="Z114"/>
  <c r="Z112"/>
  <c r="Z110"/>
  <c r="Z108"/>
  <c r="Z106"/>
  <c r="Z104"/>
  <c r="Z102"/>
  <c r="Z100"/>
  <c r="Z98"/>
  <c r="Z95"/>
  <c r="Z93"/>
  <c r="Z91"/>
  <c r="Z89"/>
  <c r="Z87"/>
  <c r="Z85"/>
  <c r="Z83"/>
  <c r="Z81"/>
  <c r="Z79"/>
  <c r="Z77"/>
  <c r="Z75"/>
  <c r="Z73"/>
  <c r="Z71"/>
  <c r="Z69"/>
  <c r="Z67"/>
  <c r="Z65"/>
  <c r="Z63"/>
  <c r="Z96"/>
  <c r="Z94"/>
  <c r="Z92"/>
  <c r="Z90"/>
  <c r="Z88"/>
  <c r="Z86"/>
  <c r="Z84"/>
  <c r="Z82"/>
  <c r="Z80"/>
  <c r="Z78"/>
  <c r="Z76"/>
  <c r="Z74"/>
  <c r="Z72"/>
  <c r="Z70"/>
  <c r="Z68"/>
  <c r="Z66"/>
  <c r="Z64"/>
  <c r="Z62"/>
  <c r="Z61"/>
  <c r="Z59"/>
  <c r="Z57"/>
  <c r="Z55"/>
  <c r="Z53"/>
  <c r="Z51"/>
  <c r="Z49"/>
  <c r="Z47"/>
  <c r="Z45"/>
  <c r="Z43"/>
  <c r="Z41"/>
  <c r="Z39"/>
  <c r="Z37"/>
  <c r="Z35"/>
  <c r="Z33"/>
  <c r="Z31"/>
  <c r="Z29"/>
  <c r="Z15"/>
  <c r="Z13"/>
  <c r="Z16"/>
  <c r="Z12"/>
  <c r="Z17"/>
  <c r="Z25"/>
  <c r="Z27"/>
  <c r="Z11"/>
  <c r="Z20"/>
  <c r="Z19"/>
  <c r="Z60"/>
  <c r="Z58"/>
  <c r="Z56"/>
  <c r="Z54"/>
  <c r="Z52"/>
  <c r="Z50"/>
  <c r="Z48"/>
  <c r="Z46"/>
  <c r="Z44"/>
  <c r="Z42"/>
  <c r="Z40"/>
  <c r="Z38"/>
  <c r="Z36"/>
  <c r="Z34"/>
  <c r="Z32"/>
  <c r="Z30"/>
  <c r="Z28"/>
  <c r="Z18"/>
  <c r="Z24"/>
  <c r="Z26"/>
  <c r="Z21"/>
  <c r="Z10"/>
  <c r="AA9"/>
  <c r="Z14"/>
  <c r="Z22"/>
  <c r="Z23"/>
  <c r="AA114" l="1"/>
  <c r="AA112"/>
  <c r="AA110"/>
  <c r="AA108"/>
  <c r="AA106"/>
  <c r="AA104"/>
  <c r="AA102"/>
  <c r="AA100"/>
  <c r="AA98"/>
  <c r="AA113"/>
  <c r="AA111"/>
  <c r="AA109"/>
  <c r="AA107"/>
  <c r="AA105"/>
  <c r="AA103"/>
  <c r="AA101"/>
  <c r="AA99"/>
  <c r="AA97"/>
  <c r="AA96"/>
  <c r="AA94"/>
  <c r="AA92"/>
  <c r="AA90"/>
  <c r="AA88"/>
  <c r="AA86"/>
  <c r="AA84"/>
  <c r="AA82"/>
  <c r="AA80"/>
  <c r="AA78"/>
  <c r="AA76"/>
  <c r="AA74"/>
  <c r="AA72"/>
  <c r="AA70"/>
  <c r="AA68"/>
  <c r="AA66"/>
  <c r="AA64"/>
  <c r="AA62"/>
  <c r="AA95"/>
  <c r="AA93"/>
  <c r="AA91"/>
  <c r="AA89"/>
  <c r="AA87"/>
  <c r="AA85"/>
  <c r="AA83"/>
  <c r="AA81"/>
  <c r="AA79"/>
  <c r="AA77"/>
  <c r="AA75"/>
  <c r="AA73"/>
  <c r="AA71"/>
  <c r="AA69"/>
  <c r="AA67"/>
  <c r="AA65"/>
  <c r="AA63"/>
  <c r="AA60"/>
  <c r="AA58"/>
  <c r="AA56"/>
  <c r="AA54"/>
  <c r="AA52"/>
  <c r="AA50"/>
  <c r="AA48"/>
  <c r="AA46"/>
  <c r="AA44"/>
  <c r="AA42"/>
  <c r="AA40"/>
  <c r="AA38"/>
  <c r="AA36"/>
  <c r="AA34"/>
  <c r="AA32"/>
  <c r="AA30"/>
  <c r="AA28"/>
  <c r="AA15"/>
  <c r="AA22"/>
  <c r="AA25"/>
  <c r="AA13"/>
  <c r="AA23"/>
  <c r="AA10"/>
  <c r="AA27"/>
  <c r="AA26"/>
  <c r="AA21"/>
  <c r="AA61"/>
  <c r="AA59"/>
  <c r="AA57"/>
  <c r="AA55"/>
  <c r="AA53"/>
  <c r="AA51"/>
  <c r="AA49"/>
  <c r="AA47"/>
  <c r="AA45"/>
  <c r="AA43"/>
  <c r="AA41"/>
  <c r="AA39"/>
  <c r="AA37"/>
  <c r="AA35"/>
  <c r="AA33"/>
  <c r="AA31"/>
  <c r="AA29"/>
  <c r="AA17"/>
  <c r="AA11"/>
  <c r="AB9"/>
  <c r="AA19"/>
  <c r="AA14"/>
  <c r="AA20"/>
  <c r="AA24"/>
  <c r="AA16"/>
  <c r="AA12"/>
  <c r="AA18"/>
  <c r="AB113" l="1"/>
  <c r="AB111"/>
  <c r="AB109"/>
  <c r="AB107"/>
  <c r="AB105"/>
  <c r="AB103"/>
  <c r="AB101"/>
  <c r="AB99"/>
  <c r="AB97"/>
  <c r="AB114"/>
  <c r="AB112"/>
  <c r="AB110"/>
  <c r="AB108"/>
  <c r="AB106"/>
  <c r="AB104"/>
  <c r="AB102"/>
  <c r="AB100"/>
  <c r="AB98"/>
  <c r="AB95"/>
  <c r="AB93"/>
  <c r="AB91"/>
  <c r="AB89"/>
  <c r="AB87"/>
  <c r="AB85"/>
  <c r="AB83"/>
  <c r="AB81"/>
  <c r="AB79"/>
  <c r="AB77"/>
  <c r="AB75"/>
  <c r="AB73"/>
  <c r="AB71"/>
  <c r="AB69"/>
  <c r="AB67"/>
  <c r="AB65"/>
  <c r="AB63"/>
  <c r="AB96"/>
  <c r="AB94"/>
  <c r="AB92"/>
  <c r="AB90"/>
  <c r="AB88"/>
  <c r="AB86"/>
  <c r="AB84"/>
  <c r="AB82"/>
  <c r="AB80"/>
  <c r="AB78"/>
  <c r="AB76"/>
  <c r="AB74"/>
  <c r="AB72"/>
  <c r="AB70"/>
  <c r="AB68"/>
  <c r="AB66"/>
  <c r="AB64"/>
  <c r="AB62"/>
  <c r="AB61"/>
  <c r="AB59"/>
  <c r="AB57"/>
  <c r="AB55"/>
  <c r="AB53"/>
  <c r="AB51"/>
  <c r="AB49"/>
  <c r="AB47"/>
  <c r="AB45"/>
  <c r="AB43"/>
  <c r="AB41"/>
  <c r="AB39"/>
  <c r="AB37"/>
  <c r="AB35"/>
  <c r="AB33"/>
  <c r="AB31"/>
  <c r="AB29"/>
  <c r="AB25"/>
  <c r="AB21"/>
  <c r="AC9"/>
  <c r="AB18"/>
  <c r="AB11"/>
  <c r="AB19"/>
  <c r="AB24"/>
  <c r="AB17"/>
  <c r="AB10"/>
  <c r="AB13"/>
  <c r="AB60"/>
  <c r="AB58"/>
  <c r="AB56"/>
  <c r="AB54"/>
  <c r="AB52"/>
  <c r="AB50"/>
  <c r="AB48"/>
  <c r="AB46"/>
  <c r="AB44"/>
  <c r="AB42"/>
  <c r="AB40"/>
  <c r="AB38"/>
  <c r="AB36"/>
  <c r="AB34"/>
  <c r="AB32"/>
  <c r="AB30"/>
  <c r="AB28"/>
  <c r="AB12"/>
  <c r="AB22"/>
  <c r="AB26"/>
  <c r="AB27"/>
  <c r="AB20"/>
  <c r="AB16"/>
  <c r="AB23"/>
  <c r="AB15"/>
  <c r="AB14"/>
  <c r="AC114" l="1"/>
  <c r="AC112"/>
  <c r="AC110"/>
  <c r="AC108"/>
  <c r="AC106"/>
  <c r="AC104"/>
  <c r="AC102"/>
  <c r="AC100"/>
  <c r="AC98"/>
  <c r="AC113"/>
  <c r="AC111"/>
  <c r="AC109"/>
  <c r="AC107"/>
  <c r="AC105"/>
  <c r="AC103"/>
  <c r="AC101"/>
  <c r="AC99"/>
  <c r="AC97"/>
  <c r="AC96"/>
  <c r="AC94"/>
  <c r="AC92"/>
  <c r="AC90"/>
  <c r="AC88"/>
  <c r="AC86"/>
  <c r="AC84"/>
  <c r="AC82"/>
  <c r="AC80"/>
  <c r="AC78"/>
  <c r="AC76"/>
  <c r="AC74"/>
  <c r="AC72"/>
  <c r="AC70"/>
  <c r="AC68"/>
  <c r="AC66"/>
  <c r="AC64"/>
  <c r="AC62"/>
  <c r="AC95"/>
  <c r="AC93"/>
  <c r="AC91"/>
  <c r="AC89"/>
  <c r="AC87"/>
  <c r="AC85"/>
  <c r="AC83"/>
  <c r="AC81"/>
  <c r="AC79"/>
  <c r="AC77"/>
  <c r="AC75"/>
  <c r="AC73"/>
  <c r="AC71"/>
  <c r="AC69"/>
  <c r="AC67"/>
  <c r="AC65"/>
  <c r="AC63"/>
  <c r="AC60"/>
  <c r="AC58"/>
  <c r="AC56"/>
  <c r="AC54"/>
  <c r="AC52"/>
  <c r="AC50"/>
  <c r="AC48"/>
  <c r="AC46"/>
  <c r="AC44"/>
  <c r="AC42"/>
  <c r="AC40"/>
  <c r="AC38"/>
  <c r="AC36"/>
  <c r="AC34"/>
  <c r="AC32"/>
  <c r="AC30"/>
  <c r="AC28"/>
  <c r="AC15"/>
  <c r="AC11"/>
  <c r="AC16"/>
  <c r="AC27"/>
  <c r="AC19"/>
  <c r="AC14"/>
  <c r="AC17"/>
  <c r="AC18"/>
  <c r="AC23"/>
  <c r="AC61"/>
  <c r="AC59"/>
  <c r="AC57"/>
  <c r="AC55"/>
  <c r="AC53"/>
  <c r="AC51"/>
  <c r="AC49"/>
  <c r="AC47"/>
  <c r="AC45"/>
  <c r="AC43"/>
  <c r="AC41"/>
  <c r="AC39"/>
  <c r="AC37"/>
  <c r="AC35"/>
  <c r="AC33"/>
  <c r="AC31"/>
  <c r="AC29"/>
  <c r="AC21"/>
  <c r="AC26"/>
  <c r="AC20"/>
  <c r="AC25"/>
  <c r="AC24"/>
  <c r="AC13"/>
  <c r="AC10"/>
  <c r="AC22"/>
  <c r="AC12"/>
  <c r="AD9"/>
  <c r="AD113" l="1"/>
  <c r="AD111"/>
  <c r="AD109"/>
  <c r="AD107"/>
  <c r="AD105"/>
  <c r="AD103"/>
  <c r="AD101"/>
  <c r="AD99"/>
  <c r="AD97"/>
  <c r="AD114"/>
  <c r="AD112"/>
  <c r="AD110"/>
  <c r="AD108"/>
  <c r="AD106"/>
  <c r="AD104"/>
  <c r="AD102"/>
  <c r="AD100"/>
  <c r="AD98"/>
  <c r="AD95"/>
  <c r="AD93"/>
  <c r="AD91"/>
  <c r="AD89"/>
  <c r="AD87"/>
  <c r="AD85"/>
  <c r="AD83"/>
  <c r="AD81"/>
  <c r="AD79"/>
  <c r="AD77"/>
  <c r="AD75"/>
  <c r="AD73"/>
  <c r="AD71"/>
  <c r="AD69"/>
  <c r="AD67"/>
  <c r="AD65"/>
  <c r="AD63"/>
  <c r="AD96"/>
  <c r="AD94"/>
  <c r="AD92"/>
  <c r="AD90"/>
  <c r="AD88"/>
  <c r="AD86"/>
  <c r="AD84"/>
  <c r="AD82"/>
  <c r="AD80"/>
  <c r="AD78"/>
  <c r="AD76"/>
  <c r="AD74"/>
  <c r="AD72"/>
  <c r="AD70"/>
  <c r="AD68"/>
  <c r="AD66"/>
  <c r="AD64"/>
  <c r="AD62"/>
  <c r="AD61"/>
  <c r="AD59"/>
  <c r="AD57"/>
  <c r="AD55"/>
  <c r="AD53"/>
  <c r="AD51"/>
  <c r="AD49"/>
  <c r="AD47"/>
  <c r="AD45"/>
  <c r="AD43"/>
  <c r="AD41"/>
  <c r="AD39"/>
  <c r="AD37"/>
  <c r="AD35"/>
  <c r="AD33"/>
  <c r="AD31"/>
  <c r="AD29"/>
  <c r="AD19"/>
  <c r="AD17"/>
  <c r="AD21"/>
  <c r="AD12"/>
  <c r="AD27"/>
  <c r="AD25"/>
  <c r="AD11"/>
  <c r="AD23"/>
  <c r="AD14"/>
  <c r="AD18"/>
  <c r="AD60"/>
  <c r="AD58"/>
  <c r="AD56"/>
  <c r="AD54"/>
  <c r="AD52"/>
  <c r="AD50"/>
  <c r="AD48"/>
  <c r="AD46"/>
  <c r="AD44"/>
  <c r="AD42"/>
  <c r="AD40"/>
  <c r="AD38"/>
  <c r="AD36"/>
  <c r="AD34"/>
  <c r="AD32"/>
  <c r="AD30"/>
  <c r="AD28"/>
  <c r="AD24"/>
  <c r="AD10"/>
  <c r="AD15"/>
  <c r="AE9"/>
  <c r="AD26"/>
  <c r="AD22"/>
  <c r="AD13"/>
  <c r="AD20"/>
  <c r="AD16"/>
  <c r="AE114" l="1"/>
  <c r="AE112"/>
  <c r="AE110"/>
  <c r="AE108"/>
  <c r="AE106"/>
  <c r="AE104"/>
  <c r="AE102"/>
  <c r="AE100"/>
  <c r="AE98"/>
  <c r="AE113"/>
  <c r="AE111"/>
  <c r="AE109"/>
  <c r="AE107"/>
  <c r="AE105"/>
  <c r="AE103"/>
  <c r="AE101"/>
  <c r="AE99"/>
  <c r="AE97"/>
  <c r="AE96"/>
  <c r="AE94"/>
  <c r="AE92"/>
  <c r="AE90"/>
  <c r="AE88"/>
  <c r="AE86"/>
  <c r="AE84"/>
  <c r="AE82"/>
  <c r="AE80"/>
  <c r="AE78"/>
  <c r="AE76"/>
  <c r="AE74"/>
  <c r="AE72"/>
  <c r="AE70"/>
  <c r="AE68"/>
  <c r="AE66"/>
  <c r="AE64"/>
  <c r="AE62"/>
  <c r="AE95"/>
  <c r="AE93"/>
  <c r="AE91"/>
  <c r="AE89"/>
  <c r="AE87"/>
  <c r="AE85"/>
  <c r="AE83"/>
  <c r="AE81"/>
  <c r="AE79"/>
  <c r="AE77"/>
  <c r="AE75"/>
  <c r="AE73"/>
  <c r="AE71"/>
  <c r="AE69"/>
  <c r="AE67"/>
  <c r="AE65"/>
  <c r="AE63"/>
  <c r="AE60"/>
  <c r="AE58"/>
  <c r="AE56"/>
  <c r="AE54"/>
  <c r="AE52"/>
  <c r="AE50"/>
  <c r="AE48"/>
  <c r="AE46"/>
  <c r="AE44"/>
  <c r="AE42"/>
  <c r="AE40"/>
  <c r="AE38"/>
  <c r="AE36"/>
  <c r="AE34"/>
  <c r="AE32"/>
  <c r="AE30"/>
  <c r="AE28"/>
  <c r="AE14"/>
  <c r="AF9"/>
  <c r="AE23"/>
  <c r="AE10"/>
  <c r="AE13"/>
  <c r="AE25"/>
  <c r="AE12"/>
  <c r="AE11"/>
  <c r="AE18"/>
  <c r="AE61"/>
  <c r="AE59"/>
  <c r="AE57"/>
  <c r="AE55"/>
  <c r="AE53"/>
  <c r="AE51"/>
  <c r="AE49"/>
  <c r="AE47"/>
  <c r="AE45"/>
  <c r="AE43"/>
  <c r="AE41"/>
  <c r="AE39"/>
  <c r="AE37"/>
  <c r="AE35"/>
  <c r="AE33"/>
  <c r="AE31"/>
  <c r="AE29"/>
  <c r="AE19"/>
  <c r="AE22"/>
  <c r="AE21"/>
  <c r="AE24"/>
  <c r="AE15"/>
  <c r="AE17"/>
  <c r="AE27"/>
  <c r="AE20"/>
  <c r="AE26"/>
  <c r="AE16"/>
  <c r="AF113" l="1"/>
  <c r="AF111"/>
  <c r="AF109"/>
  <c r="AF107"/>
  <c r="AF105"/>
  <c r="AF103"/>
  <c r="AF101"/>
  <c r="AF99"/>
  <c r="AF97"/>
  <c r="AF114"/>
  <c r="AF112"/>
  <c r="AF110"/>
  <c r="AF108"/>
  <c r="AF106"/>
  <c r="AF104"/>
  <c r="AF102"/>
  <c r="AF100"/>
  <c r="AF98"/>
  <c r="AF95"/>
  <c r="AF93"/>
  <c r="AF91"/>
  <c r="AF89"/>
  <c r="AF87"/>
  <c r="AF85"/>
  <c r="AF83"/>
  <c r="AF81"/>
  <c r="AF79"/>
  <c r="AF77"/>
  <c r="AF75"/>
  <c r="AF73"/>
  <c r="AF71"/>
  <c r="AF69"/>
  <c r="AF67"/>
  <c r="AF65"/>
  <c r="AF63"/>
  <c r="AF96"/>
  <c r="AF94"/>
  <c r="AF92"/>
  <c r="AF90"/>
  <c r="AF88"/>
  <c r="AF86"/>
  <c r="AF84"/>
  <c r="AF82"/>
  <c r="AF80"/>
  <c r="AF78"/>
  <c r="AF76"/>
  <c r="AF74"/>
  <c r="AF72"/>
  <c r="AF70"/>
  <c r="AF68"/>
  <c r="AF66"/>
  <c r="AF64"/>
  <c r="AF62"/>
  <c r="AF61"/>
  <c r="AF59"/>
  <c r="AF57"/>
  <c r="AF55"/>
  <c r="AF53"/>
  <c r="AF51"/>
  <c r="AF49"/>
  <c r="AF47"/>
  <c r="AF45"/>
  <c r="AF43"/>
  <c r="AF41"/>
  <c r="AF39"/>
  <c r="AF37"/>
  <c r="AF35"/>
  <c r="AF33"/>
  <c r="AF31"/>
  <c r="AF29"/>
  <c r="AF26"/>
  <c r="AF23"/>
  <c r="AF19"/>
  <c r="AG9"/>
  <c r="AF12"/>
  <c r="AF27"/>
  <c r="AF11"/>
  <c r="AF24"/>
  <c r="AF14"/>
  <c r="AF15"/>
  <c r="AF60"/>
  <c r="AF58"/>
  <c r="AF56"/>
  <c r="AF54"/>
  <c r="AF52"/>
  <c r="AF50"/>
  <c r="AF48"/>
  <c r="AF46"/>
  <c r="AF44"/>
  <c r="AF42"/>
  <c r="AF40"/>
  <c r="AF38"/>
  <c r="AF36"/>
  <c r="AF34"/>
  <c r="AF32"/>
  <c r="AF30"/>
  <c r="AF28"/>
  <c r="AF21"/>
  <c r="AF13"/>
  <c r="AF10"/>
  <c r="AF25"/>
  <c r="AF22"/>
  <c r="AF18"/>
  <c r="AF17"/>
  <c r="AF20"/>
  <c r="AF16"/>
  <c r="AG114" l="1"/>
  <c r="AG112"/>
  <c r="AG110"/>
  <c r="AG108"/>
  <c r="AG106"/>
  <c r="AG104"/>
  <c r="AG102"/>
  <c r="AG100"/>
  <c r="AG98"/>
  <c r="AG113"/>
  <c r="AG111"/>
  <c r="AG109"/>
  <c r="AG107"/>
  <c r="AG105"/>
  <c r="AG103"/>
  <c r="AG101"/>
  <c r="AG99"/>
  <c r="AG97"/>
  <c r="AG96"/>
  <c r="AG94"/>
  <c r="AG92"/>
  <c r="AG90"/>
  <c r="AG88"/>
  <c r="AG86"/>
  <c r="AG84"/>
  <c r="AG82"/>
  <c r="AG80"/>
  <c r="AG78"/>
  <c r="AG76"/>
  <c r="AG74"/>
  <c r="AG72"/>
  <c r="AG70"/>
  <c r="AG68"/>
  <c r="AG66"/>
  <c r="AG64"/>
  <c r="AG62"/>
  <c r="AG95"/>
  <c r="AG93"/>
  <c r="AG91"/>
  <c r="AG89"/>
  <c r="AG87"/>
  <c r="AG85"/>
  <c r="AG83"/>
  <c r="AG81"/>
  <c r="AG79"/>
  <c r="AG77"/>
  <c r="AG75"/>
  <c r="AG73"/>
  <c r="AG71"/>
  <c r="AG69"/>
  <c r="AG67"/>
  <c r="AG65"/>
  <c r="AG63"/>
  <c r="AG60"/>
  <c r="AG58"/>
  <c r="AG56"/>
  <c r="AG54"/>
  <c r="AG52"/>
  <c r="AG50"/>
  <c r="AG48"/>
  <c r="AG46"/>
  <c r="AG44"/>
  <c r="AG42"/>
  <c r="AG40"/>
  <c r="AG38"/>
  <c r="AG36"/>
  <c r="AG34"/>
  <c r="AG32"/>
  <c r="AG30"/>
  <c r="AG28"/>
  <c r="AG17"/>
  <c r="AG15"/>
  <c r="AG12"/>
  <c r="AG22"/>
  <c r="AG20"/>
  <c r="AG18"/>
  <c r="AG11"/>
  <c r="AH9"/>
  <c r="AG27"/>
  <c r="AG61"/>
  <c r="AG59"/>
  <c r="AG57"/>
  <c r="AG55"/>
  <c r="AG53"/>
  <c r="AG51"/>
  <c r="AG49"/>
  <c r="AG47"/>
  <c r="AG45"/>
  <c r="AG43"/>
  <c r="AG41"/>
  <c r="AG39"/>
  <c r="AG37"/>
  <c r="AG35"/>
  <c r="AG33"/>
  <c r="AG31"/>
  <c r="AG29"/>
  <c r="AG19"/>
  <c r="AG24"/>
  <c r="AG26"/>
  <c r="AG16"/>
  <c r="AG10"/>
  <c r="AG23"/>
  <c r="AG21"/>
  <c r="AG14"/>
  <c r="AG13"/>
  <c r="AG25"/>
  <c r="AH113" l="1"/>
  <c r="AH111"/>
  <c r="AH109"/>
  <c r="AH107"/>
  <c r="AH105"/>
  <c r="AH103"/>
  <c r="AH101"/>
  <c r="AH99"/>
  <c r="AH97"/>
  <c r="AH114"/>
  <c r="AH112"/>
  <c r="AH110"/>
  <c r="AH108"/>
  <c r="AH106"/>
  <c r="AH104"/>
  <c r="AH102"/>
  <c r="AH100"/>
  <c r="AH98"/>
  <c r="AH95"/>
  <c r="AH93"/>
  <c r="AH91"/>
  <c r="AH89"/>
  <c r="AH87"/>
  <c r="AH85"/>
  <c r="AH83"/>
  <c r="AH81"/>
  <c r="AH79"/>
  <c r="AH77"/>
  <c r="AH75"/>
  <c r="AH73"/>
  <c r="AH71"/>
  <c r="AH69"/>
  <c r="AH67"/>
  <c r="AH65"/>
  <c r="AH63"/>
  <c r="AH96"/>
  <c r="AH94"/>
  <c r="AH92"/>
  <c r="AH90"/>
  <c r="AH88"/>
  <c r="AH86"/>
  <c r="AH84"/>
  <c r="AH82"/>
  <c r="AH80"/>
  <c r="AH78"/>
  <c r="AH76"/>
  <c r="AH74"/>
  <c r="AH72"/>
  <c r="AH70"/>
  <c r="AH68"/>
  <c r="AH66"/>
  <c r="AH64"/>
  <c r="AH62"/>
  <c r="AH61"/>
  <c r="AH59"/>
  <c r="AH57"/>
  <c r="AH55"/>
  <c r="AH53"/>
  <c r="AH51"/>
  <c r="AH49"/>
  <c r="AH47"/>
  <c r="AH45"/>
  <c r="AH43"/>
  <c r="AH41"/>
  <c r="AH39"/>
  <c r="AH37"/>
  <c r="AH35"/>
  <c r="AH33"/>
  <c r="AH31"/>
  <c r="AH29"/>
  <c r="AH27"/>
  <c r="AH18"/>
  <c r="AH16"/>
  <c r="AH13"/>
  <c r="AH11"/>
  <c r="AH10"/>
  <c r="AH20"/>
  <c r="AH25"/>
  <c r="AH17"/>
  <c r="AH60"/>
  <c r="AH58"/>
  <c r="AH56"/>
  <c r="AH54"/>
  <c r="AH52"/>
  <c r="AH50"/>
  <c r="AH48"/>
  <c r="AH46"/>
  <c r="AH44"/>
  <c r="AH42"/>
  <c r="AH40"/>
  <c r="AH38"/>
  <c r="AH36"/>
  <c r="AH34"/>
  <c r="AH32"/>
  <c r="AH30"/>
  <c r="AH28"/>
  <c r="AH15"/>
  <c r="AH19"/>
  <c r="AH12"/>
  <c r="AH14"/>
  <c r="AH22"/>
  <c r="AH26"/>
  <c r="AH21"/>
  <c r="AH23"/>
  <c r="AH24"/>
</calcChain>
</file>

<file path=xl/sharedStrings.xml><?xml version="1.0" encoding="utf-8"?>
<sst xmlns="http://schemas.openxmlformats.org/spreadsheetml/2006/main" count="8431" uniqueCount="496">
  <si>
    <t>Lp.</t>
  </si>
  <si>
    <t>Wyszczególnienie</t>
  </si>
  <si>
    <t>budzet</t>
  </si>
  <si>
    <t>numer</t>
  </si>
  <si>
    <t>nazwajst</t>
  </si>
  <si>
    <t>kodgus</t>
  </si>
  <si>
    <t>gt</t>
  </si>
  <si>
    <t>mswia</t>
  </si>
  <si>
    <t>lp</t>
  </si>
  <si>
    <t>symbol</t>
  </si>
  <si>
    <t>formula</t>
  </si>
  <si>
    <t>wyszczegolnienie</t>
  </si>
  <si>
    <t>wsk243</t>
  </si>
  <si>
    <t>rokprognozy</t>
  </si>
  <si>
    <t>prognoza</t>
  </si>
  <si>
    <t>Nazwa JST:</t>
  </si>
  <si>
    <t>WPF za lata:</t>
  </si>
  <si>
    <t>DataPodjecia</t>
  </si>
  <si>
    <t>DataWejscia</t>
  </si>
  <si>
    <t>Wydatki ogółem</t>
  </si>
  <si>
    <t>Wydatki majątkowe</t>
  </si>
  <si>
    <t>Wynik budżetu</t>
  </si>
  <si>
    <t>Przychody budżetu</t>
  </si>
  <si>
    <t xml:space="preserve">Wyciąg danych z tabeli "Wieloletnia prognoza finansowa" wprowadzonych do systemu BESTI@ z wybranej uchwały </t>
  </si>
  <si>
    <t>Dochody ogółem</t>
  </si>
  <si>
    <t>Kwota długu</t>
  </si>
  <si>
    <t>Rok bazowy:</t>
  </si>
  <si>
    <t>ze sprzedaży majątku</t>
  </si>
  <si>
    <t>x</t>
  </si>
  <si>
    <t>Dochody ogółem = bieżące + majątkowe</t>
  </si>
  <si>
    <t>Wydatki ogółem = bieżące + majątkowe</t>
  </si>
  <si>
    <t>Analiza graficzna danych z WPF</t>
  </si>
  <si>
    <t>Analiza ryzyka niespełnienia wskaźnika z art. 243</t>
  </si>
  <si>
    <t>dochody ze sprzedaży majątku</t>
  </si>
  <si>
    <t>wydatki bieżące ogółem</t>
  </si>
  <si>
    <t>wydatki bieżące na wynagrodzenia i składki od nich naliczane</t>
  </si>
  <si>
    <t>wydatki bieżące ogółem bez wydatków na projekty współfinansowane środkami UE</t>
  </si>
  <si>
    <t>Analiza składowych wzoru wskaźnika z art. 243</t>
  </si>
  <si>
    <t>Rysunek z wskaźnikiem planistycznym</t>
  </si>
  <si>
    <t>Rysunek z wskaźnikiem wg wykonania</t>
  </si>
  <si>
    <t xml:space="preserve"> Dochody bieżące</t>
  </si>
  <si>
    <t>1.1.1</t>
  </si>
  <si>
    <t xml:space="preserve">  dochody z tytułu udziału we wpływach z podatku dochodowego od osób fizycznych</t>
  </si>
  <si>
    <t>1.1.2</t>
  </si>
  <si>
    <t xml:space="preserve">  dochody z tytułu udziału we wpływach z podatku dochodowego od osób prawnych</t>
  </si>
  <si>
    <t>1.1.3</t>
  </si>
  <si>
    <t xml:space="preserve">  podatki i opłaty</t>
  </si>
  <si>
    <t>1.1.3.1</t>
  </si>
  <si>
    <t xml:space="preserve">   z podatku od nieruchomości</t>
  </si>
  <si>
    <t>1.1.4</t>
  </si>
  <si>
    <t xml:space="preserve">  z subwencji ogólnej</t>
  </si>
  <si>
    <t>1.1.5</t>
  </si>
  <si>
    <t xml:space="preserve">  z tytułu dotacji i środków przeznaczonych na cele bieżące</t>
  </si>
  <si>
    <t xml:space="preserve">  Dochody majątkowe, w tym</t>
  </si>
  <si>
    <t>1.2.1</t>
  </si>
  <si>
    <t xml:space="preserve">  ze sprzedaży majątku</t>
  </si>
  <si>
    <t>1.2.2</t>
  </si>
  <si>
    <t xml:space="preserve">  z tytułu dotacji oraz środków przeznaczonych na inwestycje</t>
  </si>
  <si>
    <t xml:space="preserve"> Wydatki bieżące, w tym:</t>
  </si>
  <si>
    <t>2.1.1</t>
  </si>
  <si>
    <t xml:space="preserve">  z tytułu poręczeń i gwarancji</t>
  </si>
  <si>
    <t>2.1.1.1</t>
  </si>
  <si>
    <t>2.1.2</t>
  </si>
  <si>
    <t>2.1.3</t>
  </si>
  <si>
    <t>2.1.3.1</t>
  </si>
  <si>
    <t xml:space="preserve"> Wydatki majątkowe</t>
  </si>
  <si>
    <t xml:space="preserve"> Nadwyżka budżetowa z lat ubiegłych</t>
  </si>
  <si>
    <t>4.1.1</t>
  </si>
  <si>
    <t xml:space="preserve">  w tym na pokrycie deficytu budżetu</t>
  </si>
  <si>
    <t xml:space="preserve"> Wolne środki, o których mowa w art. 217 ust.2 pkt 6 ustawy</t>
  </si>
  <si>
    <t>4.2.1</t>
  </si>
  <si>
    <t xml:space="preserve">   w tym na pokrycie deficytu budżetu</t>
  </si>
  <si>
    <t xml:space="preserve">  Kredyty, pożyczki, emisja papierów wartościowych</t>
  </si>
  <si>
    <t>4.3.1</t>
  </si>
  <si>
    <t xml:space="preserve"> Inne przychody niezwiązane z zaciągnięciem długu</t>
  </si>
  <si>
    <t>4.4.1</t>
  </si>
  <si>
    <t>Rozchody budżetu</t>
  </si>
  <si>
    <t xml:space="preserve"> Spłaty rat kapitałowych kredytów i pożyczek oraz wykup papierów wartościowych</t>
  </si>
  <si>
    <t>5.1.1</t>
  </si>
  <si>
    <t>5.1.1.1</t>
  </si>
  <si>
    <t xml:space="preserve"> Inne rozchody niezwiązane ze spłatą długu</t>
  </si>
  <si>
    <t>Kwota zobowiązań wynikających z przejęcia przez jednostkę samorządu terytorialnego zobowiązań po likwidowanych i przekształcanych jednostkach zaliczanych do sektora  finansów publicznych</t>
  </si>
  <si>
    <t xml:space="preserve"> Różnica między dochodami bieżącymi a  wydatkami bieżącymi</t>
  </si>
  <si>
    <t>9.6.1</t>
  </si>
  <si>
    <t>9.7.1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</si>
  <si>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</si>
  <si>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</si>
  <si>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</si>
  <si>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</si>
  <si>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</si>
  <si>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>11.3.1</t>
  </si>
  <si>
    <t xml:space="preserve">   bieżące</t>
  </si>
  <si>
    <t>11.3.2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</si>
  <si>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</si>
  <si>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</si>
  <si>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</si>
  <si>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</si>
  <si>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</si>
  <si>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</si>
  <si>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>12.1.1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</si>
  <si>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</si>
  <si>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</si>
  <si>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</si>
  <si>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</si>
  <si>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>12.2.1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</si>
  <si>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</si>
  <si>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</si>
  <si>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</si>
  <si>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</si>
  <si>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>12.3.1</t>
  </si>
  <si>
    <t xml:space="preserve">  -  w tym finansowane środkami określonymi w art. 5 ust. 1 pkt 2 ustawy </t>
  </si>
  <si>
    <t>12.3.2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</si>
  <si>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</si>
  <si>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</si>
  <si>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>12.4.1</t>
  </si>
  <si>
    <t xml:space="preserve">  -  w tym finansowane środkami określonymi w art. 5 ust. 1 pkt 2 ustawy</t>
  </si>
  <si>
    <t>12.4.2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</si>
  <si>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</si>
  <si>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</si>
  <si>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</si>
  <si>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</si>
  <si>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</si>
  <si>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</si>
  <si>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</si>
  <si>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</si>
  <si>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</si>
  <si>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</si>
  <si>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</si>
  <si>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</si>
  <si>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</si>
  <si>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>14.3.1</t>
  </si>
  <si>
    <t xml:space="preserve">  spłata zobowiązań wymagalnych z lat poprzednich, innych niż w pkt 14.3.3</t>
  </si>
  <si>
    <t>14.3.2</t>
  </si>
  <si>
    <t>14.3.3</t>
  </si>
  <si>
    <t xml:space="preserve">  wypłaty z tytułu wymagalnych poręczeń i gwarancji</t>
  </si>
  <si>
    <t xml:space="preserve"> Wynik operacji niekasowych wpływających na kwotę długu ( m.in. umorzenia, różnice kursowe)</t>
  </si>
  <si>
    <t>1.1</t>
  </si>
  <si>
    <t>1.2</t>
  </si>
  <si>
    <t>2.1</t>
  </si>
  <si>
    <t>2.2</t>
  </si>
  <si>
    <t>4.1</t>
  </si>
  <si>
    <t>4.2</t>
  </si>
  <si>
    <t>4.3</t>
  </si>
  <si>
    <t>4.4</t>
  </si>
  <si>
    <t>5.1</t>
  </si>
  <si>
    <t>5.2</t>
  </si>
  <si>
    <t>Relacja zrównoważenia wydatków bieżących, o której mowa w art. 242 ustawy</t>
  </si>
  <si>
    <t>8.1</t>
  </si>
  <si>
    <t>8.2</t>
  </si>
  <si>
    <t>Wskaźnik spłaty zobowiązań</t>
  </si>
  <si>
    <t>9.1</t>
  </si>
  <si>
    <t>9.2</t>
  </si>
  <si>
    <t>9.3</t>
  </si>
  <si>
    <t>9.4</t>
  </si>
  <si>
    <t>9.5</t>
  </si>
  <si>
    <t>9.6</t>
  </si>
  <si>
    <t>9.7</t>
  </si>
  <si>
    <t>10.1</t>
  </si>
  <si>
    <t>11.1</t>
  </si>
  <si>
    <t>11.2</t>
  </si>
  <si>
    <t>11.3</t>
  </si>
  <si>
    <t>11.4</t>
  </si>
  <si>
    <t>11.5</t>
  </si>
  <si>
    <t>11.6</t>
  </si>
  <si>
    <t>12.1</t>
  </si>
  <si>
    <t>12.2</t>
  </si>
  <si>
    <t>12.3</t>
  </si>
  <si>
    <t>12.4</t>
  </si>
  <si>
    <t>13.1</t>
  </si>
  <si>
    <t>13.2</t>
  </si>
  <si>
    <t>13.3</t>
  </si>
  <si>
    <t>13.4</t>
  </si>
  <si>
    <t>13.5</t>
  </si>
  <si>
    <t>13.6</t>
  </si>
  <si>
    <t>13.7</t>
  </si>
  <si>
    <t>14.1</t>
  </si>
  <si>
    <t>14.2</t>
  </si>
  <si>
    <t>14.3</t>
  </si>
  <si>
    <t>14.4</t>
  </si>
  <si>
    <t>WYK_N_3</t>
  </si>
  <si>
    <t>WYK_N_2</t>
  </si>
  <si>
    <t>WYK_N_1</t>
  </si>
  <si>
    <t>PLN_N_1</t>
  </si>
  <si>
    <t>dochody z tytułu udziału we wpływach z podatku dochodowego od osób fizycznych</t>
  </si>
  <si>
    <t>dochody z tytułu udziału we wpływach z podatku dochodowego od osób prawnych</t>
  </si>
  <si>
    <t>z podatku od nieruchomości</t>
  </si>
  <si>
    <t>z subwencji ogólnej</t>
  </si>
  <si>
    <t>z tytułu dotacji i środków przeznaczonych na cele bieżące</t>
  </si>
  <si>
    <t>z tytułu dotacji oraz środków przeznaczonych na inwestycje</t>
  </si>
  <si>
    <t>Wydatki bieżące, w tym:</t>
  </si>
  <si>
    <t>wydatki na obsługę długu, w tym:</t>
  </si>
  <si>
    <t>Spłaty kredytów, pożyczek i wykup papierów wartościowych</t>
  </si>
  <si>
    <t>Wydatki bieżące na wynagrodzenia i składki od nich naliczane</t>
  </si>
  <si>
    <t>Wydatki związane z funkcjonowaniem organów jednostki samorządu terytorialnego</t>
  </si>
  <si>
    <t>bieżące</t>
  </si>
  <si>
    <t>majątkowe</t>
  </si>
  <si>
    <t xml:space="preserve">Wydatki inwestycyjne kontynuowane </t>
  </si>
  <si>
    <t>Nowe wydatki inwestycyjne</t>
  </si>
  <si>
    <t xml:space="preserve">Wydatki majątkowe w formie dotacji </t>
  </si>
  <si>
    <t>Wydatki bieżące na programy, projekty lub zadania finansowane z udziałem środków, o których mowa w art. 5 ust. 1 pkt 2 i 3 ustawy</t>
  </si>
  <si>
    <t xml:space="preserve">Wydatki bieżące na realizację programu, projektu lub zadania wynikające wyłącznie z zawartych umów z podmiotem dysponującym środkami, o których mowa w art. 5 ust. 1 pkt 2 ustawy </t>
  </si>
  <si>
    <t>Wydatki majątkowe na programy, projekty lub zadania finansowane z udziałem środków, o których mowa w art. 5 ust. 1 pkt 2 i 3 ustawy</t>
  </si>
  <si>
    <t xml:space="preserve">Wydatki majątkowe na realizację programu, projektu lub zadania wynikające wyłącznie z zawartych umów z podmiotem dysponującym środkami, o których mowa w art. 5 ust. 1 pkt 2 ustawy </t>
  </si>
  <si>
    <t>Kwota zobowiązań wynikających z przejęcia przez jednostkę samorządu terytorialnego zobowiązań po likwidowanych i przekształcanych samodzielnych zakładach opieki zdrowotnej</t>
  </si>
  <si>
    <t>Wysokość zobowiązań podlegających umorzeniu, o którym mowa w art. 190 ustawy o działalności leczniczej</t>
  </si>
  <si>
    <t>Wydatki na spłatę zobowiązań samodzielnego publicznego zakładu opieki zdrowotnej przejętych do końca 2011 r. na podstawie przepisów o zakładach opieki zdrowotnej</t>
  </si>
  <si>
    <t>Wydatki bieżące na pokrycie ujemnego wyniku finansowego samodzielnego publicznego zakładu opieki zdrowotnej</t>
  </si>
  <si>
    <t>Spłaty rat kapitałowych oraz wykup papierów wartościowych, o których mowa w pkt. 5.1., wynikające wyłącznie z tytułu zobowiązań już zaciągniętych</t>
  </si>
  <si>
    <t>Kwota długu, którego planowana spłata dokona się z wydatków budżetu</t>
  </si>
  <si>
    <t>spłata zobowiązań wymagalnych z lat poprzednich, innych niż w pkt 14.3.3</t>
  </si>
  <si>
    <t>wypłaty z tytułu wymagalnych poręczeń i gwarancji</t>
  </si>
  <si>
    <t>Rok max</t>
  </si>
  <si>
    <t>UWAGA!</t>
  </si>
  <si>
    <t>[13.3] = 0 (dla lat 2014 i wyższych)</t>
  </si>
  <si>
    <t>[1] + [4] - [2] - [5] = 0</t>
  </si>
  <si>
    <t>[1.1] + [4.1] + [4.2] &gt;= ([2.1] - [2.1.2])</t>
  </si>
  <si>
    <t>jeśli [3] &lt; 0 to sprawdź czy [4.1.1] + [4.2.1] + [4.3.1] + [4.4.1] + [3] = 0</t>
  </si>
  <si>
    <t>jeśli [3] &gt;= 0 to sprawdź czy [4.1.1]=0 i [4.2.1]=0 i [4.3.1]=0 i  [4.4.1] = 0</t>
  </si>
  <si>
    <t>[1.1.3] &gt;=  [1.1.3.1]</t>
  </si>
  <si>
    <t>[1.1.5] &gt;= [13.2]</t>
  </si>
  <si>
    <t>[1.1] &gt;=  ([1.1.1] + [1.1.2] + [1.1.3] + [1.1.4] + [1.1.5])</t>
  </si>
  <si>
    <t>[1.1] &gt;= [12.1]</t>
  </si>
  <si>
    <t>[1.2] &gt;= [1.2.1]</t>
  </si>
  <si>
    <t>[1.2] &gt;= [1.2.2]</t>
  </si>
  <si>
    <t>[1.2] &gt;= [12.2]</t>
  </si>
  <si>
    <t>[10] &gt;= [10.1]</t>
  </si>
  <si>
    <t>[12.1.1] &gt;= [12.1.1.1]</t>
  </si>
  <si>
    <t>[12.1] &gt;= [12.1.1]</t>
  </si>
  <si>
    <t>[12.2.1] &gt;= [12.2.1.1]</t>
  </si>
  <si>
    <t>[12.2] &gt;= [12.2.1]</t>
  </si>
  <si>
    <t>[12.3] &gt;= [12.3.1]</t>
  </si>
  <si>
    <t>[12.3] &gt;= [12.3.2]</t>
  </si>
  <si>
    <t>[12.4] &gt;= [12.4.1]</t>
  </si>
  <si>
    <t>[12.4] &gt;= [12.4.2]</t>
  </si>
  <si>
    <t>[13.1] &gt;= [13.3]</t>
  </si>
  <si>
    <t>[13.4] &gt;= [2.1.2]</t>
  </si>
  <si>
    <t>[14.3] &gt;= [14.3.1] + [14.3.2] + [14.3.3]</t>
  </si>
  <si>
    <t>[2.1.1] &gt;= [14.3.3]</t>
  </si>
  <si>
    <t>[2.1.1] &gt;= [2.1.1.1]</t>
  </si>
  <si>
    <t xml:space="preserve">[2.1.3] &gt;= [2.1.3.1] </t>
  </si>
  <si>
    <t>[2.1] &gt;= ([2.1.1] + [2.1.2] + [2.1.3])</t>
  </si>
  <si>
    <t>[2.1] &gt;= [11.1]</t>
  </si>
  <si>
    <t>[2.1] &gt;= [11.3.1]</t>
  </si>
  <si>
    <t>[2.1] &gt;= [12.3]</t>
  </si>
  <si>
    <t>[2.1] &gt;= [13.7]</t>
  </si>
  <si>
    <t>[2.2] &gt;= [11.3.2]</t>
  </si>
  <si>
    <t>[2.2] &gt;= [11.4] + [11.5]</t>
  </si>
  <si>
    <t>[2.2] &gt;= [11.6]</t>
  </si>
  <si>
    <t>[2.2] &gt;= [12.4]</t>
  </si>
  <si>
    <t>[4.1] &gt;= [4.1.1]</t>
  </si>
  <si>
    <t>[4.2] &gt;= [4.2.1]</t>
  </si>
  <si>
    <t>[4.3] &gt;= [4.3.1]</t>
  </si>
  <si>
    <t>[4.4] &gt;= [4.4.1]</t>
  </si>
  <si>
    <t>[5.1] &gt;= [10.1]</t>
  </si>
  <si>
    <t>[5.1] &gt;= [14.1]</t>
  </si>
  <si>
    <t>[5.1] &gt;= [5.1.1]</t>
  </si>
  <si>
    <t>[6] &gt;= [14.2]</t>
  </si>
  <si>
    <t>[6] &gt;=[7]</t>
  </si>
  <si>
    <t>7&gt;=13.1</t>
  </si>
  <si>
    <t xml:space="preserve">jeżeli [2.1.3] &lt;&gt; 0 to  [2.1.3.1] &lt;&gt; 0 </t>
  </si>
  <si>
    <t>Spełnienie wskaźnika z art. 242</t>
  </si>
  <si>
    <t>Kontrola poprawności zbilansowania budżetu</t>
  </si>
  <si>
    <t>Kontrola poprawności wyliczenia kwoty długu</t>
  </si>
  <si>
    <t>Kontrola poprawności wykazania źródeł pokrycia deficytu</t>
  </si>
  <si>
    <t>Kontrola poprawności niewykazania źródeł pokrycia deficytu przy nadwyżce budżetu</t>
  </si>
  <si>
    <t>Reguła logiczna</t>
  </si>
  <si>
    <t>Reguła logiczna:  [1.1.3] &gt;=  [1.1.3.1]</t>
  </si>
  <si>
    <t>Reguła logiczna:  [1.1.5] &gt;= [13.2]</t>
  </si>
  <si>
    <t>Reguła logiczna:  [1.1] &gt;=  ([1.1.1] + [1.1.2] + [1.1.3] + [1.1.4] + [1.1.5])</t>
  </si>
  <si>
    <t>Reguła logiczna:  [1.1] &gt;= [12.1]</t>
  </si>
  <si>
    <t>Reguła logiczna:  [1.2] &gt;= [1.2.1]</t>
  </si>
  <si>
    <t>Reguła logiczna:  [1.2] &gt;= [1.2.2]</t>
  </si>
  <si>
    <t>Reguła logiczna:  [1.2] &gt;= [12.2]</t>
  </si>
  <si>
    <t>Reguła logiczna:  [10] &gt;= [10.1]</t>
  </si>
  <si>
    <t>Reguła logiczna:  [12.1.1] &gt;= [12.1.1.1]</t>
  </si>
  <si>
    <t>Reguła logiczna:  [12.1] &gt;= [12.1.1]</t>
  </si>
  <si>
    <t>Reguła logiczna:  [12.2.1] &gt;= [12.2.1.1]</t>
  </si>
  <si>
    <t>Reguła logiczna:  [12.2] &gt;= [12.2.1]</t>
  </si>
  <si>
    <t>Reguła logiczna:  [12.3] &gt;= [12.3.1]</t>
  </si>
  <si>
    <t>Reguła logiczna:  [12.3] &gt;= [12.3.2]</t>
  </si>
  <si>
    <t>Reguła logiczna:  [12.4] &gt;= [12.4.1]</t>
  </si>
  <si>
    <t>Reguła logiczna:  [12.4] &gt;= [12.4.2]</t>
  </si>
  <si>
    <t>Reguła logiczna:  [13.1] &gt;= [13.3]</t>
  </si>
  <si>
    <t>Reguła logiczna:  [13.4] &gt;= [2.1.2]</t>
  </si>
  <si>
    <t>Reguła logiczna:  [14.3] &gt;= [14.3.1] + [14.3.2] + [14.3.3]</t>
  </si>
  <si>
    <t>Reguła logiczna:  [2.1.1] &gt;= [14.3.3]</t>
  </si>
  <si>
    <t>Reguła logiczna:  [2.1.1] &gt;= [2.1.1.1]</t>
  </si>
  <si>
    <t xml:space="preserve">Reguła logiczna:  [2.1.3] &gt;= [2.1.3.1] </t>
  </si>
  <si>
    <t>Reguła logiczna:  [2.1] &gt;= ([2.1.1] + [2.1.2] + [2.1.3])</t>
  </si>
  <si>
    <t>Reguła logiczna:  [2.1] &gt;= [11.1]</t>
  </si>
  <si>
    <t>Reguła logiczna:  [2.1] &gt;= [11.3.1]</t>
  </si>
  <si>
    <t>Reguła logiczna:  [2.1] &gt;= [12.3]</t>
  </si>
  <si>
    <t>Reguła logiczna:  [2.1] &gt;= [13.7]</t>
  </si>
  <si>
    <t>Reguła logiczna:  [2.2] &gt;= [11.3.2]</t>
  </si>
  <si>
    <t>Reguła logiczna:  [2.2] &gt;= [11.4] + [11.5]</t>
  </si>
  <si>
    <t>Reguła logiczna:  [2.2] &gt;= [11.6]</t>
  </si>
  <si>
    <t>Reguła logiczna:  [2.2] &gt;= [12.4]</t>
  </si>
  <si>
    <t>Reguła logiczna:  [4.1] &gt;= [4.1.1]</t>
  </si>
  <si>
    <t>Reguła logiczna:  [4.2] &gt;= [4.2.1]</t>
  </si>
  <si>
    <t>Reguła logiczna:  [4.3] &gt;= [4.3.1]</t>
  </si>
  <si>
    <t>Reguła logiczna:  [4.4] &gt;= [4.4.1]</t>
  </si>
  <si>
    <t>Reguła logiczna:  [5.1] &gt;= [10.1]</t>
  </si>
  <si>
    <t>Reguła logiczna:  [5.1] &gt;= [14.1]</t>
  </si>
  <si>
    <t>Reguła logiczna:  [5.1] &gt;= [5.1.1]</t>
  </si>
  <si>
    <t>Reguła logiczna:  [6] &gt;= [14.2]</t>
  </si>
  <si>
    <t>Reguła logiczna:  [6] &gt;=[7]</t>
  </si>
  <si>
    <t>Reguła logiczna:  7&gt;=13.1</t>
  </si>
  <si>
    <t xml:space="preserve">Reguła logiczna:  jeżeli [2.1.3] &lt;&gt; 0 to  [2.1.3.1] &lt;&gt; 0 </t>
  </si>
  <si>
    <t>Weryfikacja danych wykazanych w tabeli Wieloletnia Prognoza Finansowa</t>
  </si>
  <si>
    <t>Reguła formalna</t>
  </si>
  <si>
    <t>Reguła rachunkowa</t>
  </si>
  <si>
    <t>Wynik budżetu = dochody ogółem - wydatki ogółem</t>
  </si>
  <si>
    <t>Wyliczenie kwoty długu</t>
  </si>
  <si>
    <t>pozostałe wydatki bieżące (wydatki bieżące bez wynagrodzeń i pochodnych oraz wydatków związanych z funkcjonowaniem organów jst, wydatków na obsługę długu  oraz poręczeń i gwarancji)</t>
  </si>
  <si>
    <t>wydatki ogółem bez wydatków na projekty finansowane i współfinansowane środkami UE</t>
  </si>
  <si>
    <t>dochody ogółem bez środków UE (fin. i współfin.)</t>
  </si>
  <si>
    <t>dochody bieżące bez środków UE (fin. i współfin.)</t>
  </si>
  <si>
    <t>dochody majątkowe bez środków UE (fin. i współfin.)</t>
  </si>
  <si>
    <t>dochody majątkowe bez środków UE (fin. i współfin.) 
i bez sprzedaży majątku</t>
  </si>
  <si>
    <t>Umorzenie zobowiązań, o którym mowa w art. 190 ustawy o działalności leczniczej nie wykracza poza ustawowy okres</t>
  </si>
  <si>
    <t>Formuła</t>
  </si>
  <si>
    <t>[1.1]+[1.2]</t>
  </si>
  <si>
    <t>[2.1]+[2.2]</t>
  </si>
  <si>
    <t>Do symulacji prognozy i obserwacji zmian wskaźników z art. 243, 169 i 170 na podstawie danych wprowadzanych ręcznie służy arkusz "WPF_AnalizaWsk_Projektowanie"</t>
  </si>
  <si>
    <t>Zestawienie wygenerowane na podstawie danych wprowadzonych do systemu BESTI@</t>
  </si>
  <si>
    <t>-</t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</si>
  <si>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(planistyczny)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(bez wyłączeń)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</si>
  <si>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(planistyczny)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(z wyłączeniami)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</si>
  <si>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(wg wykonania)</t>
    </r>
    <r>
      <rPr>
        <sz val="9"/>
        <color indexed="8"/>
        <rFont val="Times New Roman"/>
        <family val="1"/>
        <charset val="238"/>
      </rPr>
      <t xml:space="preserve"> - (R+O)/D (bez wyłączeń)</t>
    </r>
  </si>
  <si>
    <r>
      <t xml:space="preserve">max. limit spłat </t>
    </r>
    <r>
      <rPr>
        <b/>
        <sz val="9"/>
        <color indexed="8"/>
        <rFont val="Times New Roman"/>
        <family val="1"/>
        <charset val="238"/>
      </rPr>
      <t>(wg wykonania)</t>
    </r>
    <r>
      <rPr>
        <sz val="9"/>
        <color indexed="8"/>
        <rFont val="Times New Roman"/>
        <family val="1"/>
        <charset val="238"/>
      </rPr>
      <t xml:space="preserve"> - (R+O)/D </t>
    </r>
    <r>
      <rPr>
        <b/>
        <sz val="9"/>
        <color indexed="8"/>
        <rFont val="Times New Roman"/>
        <family val="1"/>
        <charset val="238"/>
      </rPr>
      <t>(z wyłączeniami)</t>
    </r>
  </si>
  <si>
    <t>Nr Uchwały:</t>
  </si>
  <si>
    <t>Plan 3 kw.</t>
  </si>
  <si>
    <t xml:space="preserve">Wykonanie </t>
  </si>
  <si>
    <t>DYNAMIKA podstawowych wielkości z prognozy</t>
  </si>
  <si>
    <t>WIELKOŚĆ ZMIAN w podstawowych kwotach prognozy</t>
  </si>
  <si>
    <t>PODSTAWOWE wielkości ujęte w prognozie</t>
  </si>
  <si>
    <t>Kontrola poprawności podstawowych kwot</t>
  </si>
  <si>
    <t>Reguły kontrolne</t>
  </si>
  <si>
    <t>Wyliczenie zobowiązań wynikających z przejęcia przez jst zobowiązań po likwidowanych i przekształcanych SZOZ</t>
  </si>
  <si>
    <t>[6]"n" = [6]"n-1" + [4.3]"n" - [5.1]"n" +  ([14.2]"n"-[14.2]"n-1") + [14.4]</t>
  </si>
  <si>
    <t xml:space="preserve">[14.2] "n" =  ( [14.2]  "n-1" -  [14.3] "n" ) </t>
  </si>
  <si>
    <t>Porównanie na koniec roku prognozy stanu zobowiązań przejętych przez jst po likwidowanych i przekształcanych SP ZOZ z wydatkami i umorzeniami poniesionymi na ten cel ze stanem zobowiązań z okresu N-1</t>
  </si>
  <si>
    <t>[13.1] "n"  -  ( [13.3] + [13.4] + [13.5] + [13.6] ) "n"  =  [13.1] "n-1"</t>
  </si>
  <si>
    <t>X</t>
  </si>
  <si>
    <t>[N-1]wyk 
- [N-1]pl3kw</t>
  </si>
  <si>
    <t>[N-1]pl3kw 
- [N-2]</t>
  </si>
  <si>
    <t>[N-1]wyk 
/ [N-1]pl3kw</t>
  </si>
  <si>
    <t>[N-1]pl3kw / [N-2]</t>
  </si>
  <si>
    <r>
      <t xml:space="preserve">Analiza zmiany kwoty długu spłacanego wydatkami budżetu 
</t>
    </r>
    <r>
      <rPr>
        <b/>
        <sz val="9"/>
        <rFont val="Czcionka tekstu podstawowego"/>
        <charset val="238"/>
      </rPr>
      <t xml:space="preserve">- wartości różne od zera wymagają objaśnienia </t>
    </r>
    <r>
      <rPr>
        <sz val="9"/>
        <rFont val="Czcionka tekstu podstawowego"/>
        <charset val="238"/>
      </rPr>
      <t xml:space="preserve">
   - wartości większe od zera wskazują na powstanie w roku prognozy nowego długu tego typu
   - wartości mniejsze od zera co do zasady nie powinny wystąpić</t>
    </r>
  </si>
  <si>
    <t>Dochody bieżące</t>
  </si>
  <si>
    <t>Reguła logiczna:  jeżeli [10] &gt; 0 to [10.1] &gt;0</t>
  </si>
  <si>
    <t>jeśli [10] &gt; 0 to powinno być [10.1] &gt; 0</t>
  </si>
  <si>
    <t>Reguła logiczna: jeżeli [3] &gt;0 to [10] = [3]</t>
  </si>
  <si>
    <t>rokwzgl</t>
  </si>
  <si>
    <t xml:space="preserve">Poniższej tabeli WPF nie należy modyfikować. </t>
  </si>
  <si>
    <t>Do szacowania i analiz służy arkusz "WPF_AnalizaWsk_Projektowanie"</t>
  </si>
  <si>
    <t>Wolne środki, o których mowa w art. 217 ust.2 pkt 6 ustawy</t>
  </si>
  <si>
    <t>Nadwyżka budżetowa z lat ubiegłych</t>
  </si>
  <si>
    <t xml:space="preserve">   w tym: gwarancje i poręczenia podlegające wyłączeniu z limitu spłaty zobowiązań, o którym mowa w art. 243 ustawy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</si>
  <si>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</si>
  <si>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 xml:space="preserve">  wydatki na obsługę długu, w tym:</t>
  </si>
  <si>
    <t xml:space="preserve">   odsetki i dyskonto określone w art. 243 ust. 1 ustawy, w tym:</t>
  </si>
  <si>
    <t>2.1.3.1.1</t>
  </si>
  <si>
    <t xml:space="preserve">    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</si>
  <si>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2.1.3.1.2</t>
  </si>
  <si>
    <t xml:space="preserve">    odsetki i dyskonto podlegające wyłączeniu z limitu spłaty zobowiązań, o którym mowa w art. 243 ustawy, z tytułu zobowiązań  zaciągniętych na wkład krajowy</t>
  </si>
  <si>
    <t>[1] -[2]</t>
  </si>
  <si>
    <t>[4.1] + [4.2] + [4.3] + [4.4]</t>
  </si>
  <si>
    <t>[5.1] + [5.2]</t>
  </si>
  <si>
    <t>[5.1.1.1] + [5.1.1.2] + [5.1.1.3]</t>
  </si>
  <si>
    <t xml:space="preserve">  w tym łączna kwota przypadających na dany rok kwot ustawowych wyłączeń z limitu spłaty zobowiązań, o którym mowa w art. 243 ustawy, z tego:</t>
  </si>
  <si>
    <t xml:space="preserve">   kwota przypadających na dany rok kwot ustawowych wyłączeń określonych w art. 243 ust. 3 ustawy</t>
  </si>
  <si>
    <t>5.1.1.2</t>
  </si>
  <si>
    <t xml:space="preserve">   kwota przypadających na dany rok kwot ustawowych wyłączeń określonych w art. 243 ust. 3a ustawy</t>
  </si>
  <si>
    <t>5.1.1.3</t>
  </si>
  <si>
    <t xml:space="preserve">   kwota przypadających na dany rok kwot ustawowych wyłączeń innych niż określone w art. 243 ustawy</t>
  </si>
  <si>
    <t>[1.1] - [2.1]</t>
  </si>
  <si>
    <t>[1.1] + [4.1] + [4.2] - (  [2.1] - [2.1.2]  )</t>
  </si>
  <si>
    <t xml:space="preserve"> Różnica między dochodami bieżącymi, skorygowanymi o środki a wydatkami bieżącymi, pomniejszonymi  o wydatki</t>
  </si>
  <si>
    <t>([2.1.1] + [2.1.3.1] + [5.1] ) / [1]</t>
  </si>
  <si>
    <t xml:space="preserve"> 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</si>
  <si>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( ([2.1.1]-[2.1.1.1])+([2.1.3.1]-[2.1.3.1.1]-[2.1.3.1.2])+([5.1]-[5.1.1]) )/([1]-[15.1.1])</t>
  </si>
  <si>
    <t xml:space="preserve"> 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</si>
  <si>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 xml:space="preserve"> Kwota zobowiązań związku współtworzonego przez jednostkę samorządu terytorialnego przypadających do spłaty w danym roku budżetowym, podlegająca doliczeniu zgodnie z art. 244 ustawy</t>
  </si>
  <si>
    <t>(([2.1.1]-[2.1.1.1]) + ([2.1.3.1]-[2.1.3.1.1]-[2.1.3.1.2])+([5.1]-[5.1.1])+[9.3]) /([1]-[15.1.1])</t>
  </si>
  <si>
    <t xml:space="preserve"> 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</si>
  <si>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>(([1.1] - [15.1.1])+[1.2.1] - ([2.1]-[2.1.2]-[15.2]))/ ([1]-[15.1.1])</t>
  </si>
  <si>
    <t xml:space="preserve"> Wskaźnik dochodów bieżących powiększonych o dochody ze sprzedaży majątku oraz pomniejszonych o wydatki bieżące, do dochodów budżetu, ustalony dla danego roku (wskaźnik jednoroczny)</t>
  </si>
  <si>
    <t>średnia z trzech poprzednich lat [9.5]</t>
  </si>
  <si>
    <t xml:space="preserve"> 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</si>
  <si>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   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</si>
  <si>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[9.4]-[9.6]</t>
  </si>
  <si>
    <t xml:space="preserve"> 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</si>
  <si>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[9.4]-[9.6.1]</t>
  </si>
  <si>
    <t xml:space="preserve">  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</si>
  <si>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[11.3.1] + [11.3.2]</t>
  </si>
  <si>
    <t xml:space="preserve"> Wydatki objęte limitem, o którym mowa w art. 226 ust. 3 pkt 4 ustawy</t>
  </si>
  <si>
    <t>12.5</t>
  </si>
  <si>
    <t xml:space="preserve"> Wydatki na wkład krajowy w związku z umową na realizację programu, projektu lub zadania finansowanego z udziałem środków, o których mowa w art. 5 ust. 1 pkt 2 ustawy bez względu na stopień finansowania tymi środkami </t>
  </si>
  <si>
    <t>12.5.1</t>
  </si>
  <si>
    <t xml:space="preserve">  w tym w związku z już zawartą umową na realizację programu, projektu lub zadania</t>
  </si>
  <si>
    <t>12.6</t>
  </si>
  <si>
    <t xml:space="preserve"> Wydatki na wkład krajowy w związku z zawartą po dniu 1 stycznia 2013 r. umową na realizację programu, projektu lub zadania finansowanego w co najmniej 60% środkami, o których mowa w art. 5 ust. 1 pkt 2 ustawy</t>
  </si>
  <si>
    <t>12.6.1</t>
  </si>
  <si>
    <t>12.7</t>
  </si>
  <si>
    <t xml:space="preserve"> 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</si>
  <si>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>12.7.1</t>
  </si>
  <si>
    <t>12.8</t>
  </si>
  <si>
    <t xml:space="preserve"> 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</si>
  <si>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>12.8.1</t>
  </si>
  <si>
    <t xml:space="preserve">  związane z umowami zaliczanymi do tytułów dłużnych wliczanych do państwowego długu publicznego</t>
  </si>
  <si>
    <t>Dane dotyczące emitowanych obligacji przychodowych</t>
  </si>
  <si>
    <t>15.1</t>
  </si>
  <si>
    <t xml:space="preserve"> Środki z przedsięwzięcia gromadzone na rachunku bankowym,  w tym:</t>
  </si>
  <si>
    <t>15.1.1</t>
  </si>
  <si>
    <t xml:space="preserve">  środki na zaspokojenie roszczeń obligatariuszy</t>
  </si>
  <si>
    <t>15.2</t>
  </si>
  <si>
    <t xml:space="preserve"> Wydatki bieżące z tytułu świadczenia emitenta należnego obligatariuszom,  nieuwzględniane  w limicie spłaty zobowiązań, o którym mowa w art. 243 ustawy</t>
  </si>
  <si>
    <t>Wydatki bieżące z tytułu świadczenia emitenta należnego obligatariuszom,  nieuwzględniane  w limicie spłaty zobowiązań, o którym mowa w art. 243 ustawy</t>
  </si>
  <si>
    <t>Układ WPF wg Rozporządzenia Ministra Finansów z dnia 10.01.2013 po zmianie z Dz.U. z 2013 r., poz. 1736</t>
  </si>
  <si>
    <t>Reguła logiczna:  [12.5] &gt;= [12.5.1]</t>
  </si>
  <si>
    <t>Reguła logiczna:  [12.6] &gt;= [12.6.1]</t>
  </si>
  <si>
    <t>Reguła logiczna:  [12.7] &gt;= [12.7.1]</t>
  </si>
  <si>
    <t>Reguła logiczna:  [12.8] &gt;= [12.8.1]</t>
  </si>
  <si>
    <t xml:space="preserve">Reguła logiczna:  [2.1.3.1] &gt;= [2.1.3.1.1]+[2.1.3.1.2] </t>
  </si>
  <si>
    <t>Reguła logiczna:  [15.1] &gt;= [15.1.1]</t>
  </si>
  <si>
    <t xml:space="preserve">  Dochody majątkowe</t>
  </si>
  <si>
    <t xml:space="preserve"> Wydatki bieżące</t>
  </si>
  <si>
    <t xml:space="preserve">   Wydatki bieżące na przedsięwzięcia</t>
  </si>
  <si>
    <t xml:space="preserve">   Wydatki majątkowe na przedsięwzięcia</t>
  </si>
  <si>
    <t xml:space="preserve">Dopuszczalny wskaźnik spłaty zobowiązań z art. 243 ustawy, po uwzględnieniu ustawowych wyłączeń (planistyczny) </t>
  </si>
  <si>
    <t xml:space="preserve">Dopuszczalny wskaźnik spłaty zobowiązań z art. 243 ustawy, po uwzględnieniu ustawowych wyłączeń (wykonanie) </t>
  </si>
  <si>
    <t>(R+O) / D (bez wyłączeń)</t>
  </si>
  <si>
    <t>(R+O) / D (z wyłączeniami)</t>
  </si>
  <si>
    <t>(R+O) / D (z wyłączeniami i zobowiązaniami związków)</t>
  </si>
  <si>
    <t>Nazwy serii (rysunki)</t>
  </si>
  <si>
    <t>odsetki i dyskonto podlegające wyłączeniu z limitu spłaty zobowiązań, o którym mowa w art. 243 ustawy, w terminie nie dłuższym niż 90 dni po zakończeniu programu, projektu lub zadania i otrzymaniu refundacji z tych środków (bez odsetek i dyskonta od zobowiązań na wkład krajowy)</t>
  </si>
  <si>
    <t>odsetki i dyskonto podlegające wyłączeniu z limitu spłaty zobowiązań, o którym mowa w art. 243 ustawy, z tytułu zobowiązań  zaciągniętych na wkład krajowy</t>
  </si>
  <si>
    <t>Wskaźnik dochodów bieżących powiększonych o dochody ze sprzedaży majątku oraz pomniejszonych o wydatki bieżące, do dochodów budżetu, ustalony dla danego roku (wskaźnik jednoroczny)</t>
  </si>
  <si>
    <t>Wskaźnik planowanej łącznej kwoty spłaty zobowiązań, o której mowa w art. 243 ust. 1 ustawy do dochodów, bez uwzględnienia zobowiązań związku współtworzonego przez jednostkę samorządu terytorialnego  i bez uwzględnienia ustawowych wyłączeń przypadających na dany rok.</t>
  </si>
  <si>
    <t>Wskaźnik planowanej łącznej kwoty spłaty zobowiązań, o której mowa w art. 243 ust. 1 ustawy do dochodów, bez uwzględnienia zobowiązań związku współtworzonego przez jednostkę samorządu terytorialnego, po uwzględnieniu ustawowych wyłączeń przypadających na dany rok.</t>
  </si>
  <si>
    <t>Kwota zobowiązań związku współtworzonego przez jednostkę samorządu terytorialnego przypadających do spłaty w danym roku budżetowym, podlegająca doliczeniu zgodnie z art. 244 ustawy</t>
  </si>
  <si>
    <t>Wskaźnik planowanej łącznej kwoty spłaty zobowiązań, o której mowa w art. 243 ust. 1 ustawy do dochodów, po uwzględnieniu zobowiązań związku współtworzonego przez jednostkę samorządu terytorialnego oraz po uwzględnieniu ustawowych wyłączeń przypadających na dany rok</t>
  </si>
  <si>
    <t xml:space="preserve">Dopuszczalny wskaźnik spłaty zobowiązań określony w art. 243 ustawy, po uwzględnieniu ustawowych wyłączeń , obliczony w oparciu o plan 3 kwartału roku poprzedzającego pierwszy rok prognozy (wskaźnik ustalony w oparciu o średnią arytmetyczną z 3 poprzednich lat) </t>
  </si>
  <si>
    <t xml:space="preserve">Dopuszczalny wskaźnik spłaty zobowiązań określony w art. 243 ustawy, po uwzględnieniu ustawowych wyłączeń, obliczony w oparciu o wykonanie roku poprzedzającego pierwszy rok prognozy (wskaźnik ustalony w oparciu o średnią arytmetyczną z 3 poprzednich lat) 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</si>
  <si>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wykonanie roku poprzedzającego rok budżetowy</t>
  </si>
  <si>
    <t>- w tym środki określone w art. 5 ust. 1 pkt 2 ustawy wynikające wyłącznie z zawartych umów na realizację programu, projektu lub zadania</t>
  </si>
  <si>
    <t>- w tym środki określone w art. 5 ust. 1 pkt 2 ustawy wynikające wyłącznie z  zawartych umów na realizację programu, projektu lub zadania</t>
  </si>
  <si>
    <t>-  w tym środki określone w art. 5 ust. 1 pkt 2 ustawy</t>
  </si>
  <si>
    <t>Wydatki na wkład krajowy w związku z zawartą po dniu 1 stycznia 2013 r. umową na realizację programu, projektu lub zadania finansowanego w co najmniej 60% środkami, o których mowa w art. 5 ust. 1 pkt 2 ustawy</t>
  </si>
  <si>
    <t>w tym w związku z już zawartą umową na realizację programu, projektu lub zadania</t>
  </si>
  <si>
    <t>Dochody budżetowe z tytułu dotacji celowej z budżetu państwa, o której mowa w art. 196 ustawy z  dnia 15 kwietnia 2011 r.  o działalności leczniczej (Dz.U. Nr 112, poz. 654, z późn. zm.)</t>
  </si>
  <si>
    <t>Wydatki na spłatę przejętych zobowiązań samodzielnego publicznego zakładu opieki zdrowotnej przekształconego na zasadach określonych w przepisach  o działalności leczniczej</t>
  </si>
  <si>
    <t>Wydatki na spłatę przejętych zobowiązań samodzielnego publicznego zakładu opieki zdrowotnej likwidowanego na zasadach określonych w przepisach  o działalności leczniczej</t>
  </si>
  <si>
    <t>Wydatki zmniejszające dług, w tym</t>
  </si>
  <si>
    <t>związane z umowami zaliczanymi do tytułów dłużnych wliczanych do państwowego długu publicznego</t>
  </si>
  <si>
    <t>środki na zaspokojenie roszczeń obligatariuszy</t>
  </si>
  <si>
    <t>Środki z przedsięwzięcia gromadzone na rachunku bankowym,  w tym:</t>
  </si>
  <si>
    <t>w tym: gwarancje i poręczenia podlegające wyłączeniu z limitu spłaty zobowiązań, o którym mowa w art. 243 ustawy</t>
  </si>
  <si>
    <t>z tytułu poręczeń i gwarancji</t>
  </si>
  <si>
    <t>Dochody majątkowe, w tym</t>
  </si>
  <si>
    <t>podatki i opłaty</t>
  </si>
  <si>
    <t>Wynik operacji niekasowych wpływających na kwotę długu ( m.in. umorzenia, różnice kursowe)</t>
  </si>
  <si>
    <t>Przychody z tytułu kredytów, pożyczek, emisji papierów wartościowych powstające w związku z zawartą po dniu 1 stycznia 2013 r. umową na realizację programu, projektu lub zadania finansowanego w co najmniej 60% środkami, o których mowa w art. 5 ust. 1 pkt 2 ustawy</t>
  </si>
  <si>
    <t xml:space="preserve">Przychody z tytułu kredytów, pożyczek, emisji papierów wartościowych powstające w związku z umową na realizację programu, projektu lub zadania finansowanego z udziałem środków, o których mowa w art. 5 ust. 1 pkt 2 ustawy bez względu na stopień finansowania tymi środkami </t>
  </si>
  <si>
    <t xml:space="preserve">Wydatki na wkład krajowy w związku z umową na realizację programu, projektu lub zadania finansowanego z udziałem środków, o których mowa w art. 5 ust. 1 pkt 2 ustawy bez względu na stopień finansowania tymi środkami </t>
  </si>
  <si>
    <t>-  w tym finansowane środkami określonymi w art. 5 ust. 1 pkt 2 ustawy</t>
  </si>
  <si>
    <t xml:space="preserve">-  w tym finansowane środkami określonymi w art. 5 ust. 1 pkt 2 ustawy </t>
  </si>
  <si>
    <t>Dochody majątkowe  na programy, projekty lub zadania finansowane z udziałem środków, o których mowa w art. 5 ust. 1 pkt 2 i 3 ustawy</t>
  </si>
  <si>
    <t>Dochody bieżące  na programy, projekty lub zadania finansowane z udziałem środków, o których mowa w art. 5 ust. 1 pkt 2 i 3 ustawy</t>
  </si>
  <si>
    <t>Wydatki objęte limitem, o którym mowa w art. 226 ust. 3 pkt 4 ustawy</t>
  </si>
  <si>
    <t>Informacja o spełnieniu wskaźnika spłaty zobowiązań określonego w art. 243 ustawy, po uwzględnieniu zobowiązań związku współtworzonego przez jednostkę samorządu terytorialnego oraz po uwzględnieniu ustawowych wyłączeń, obliczonego w oparciu o plan 3 kwartałów roku poprzedzającego rok budżetowy</t>
  </si>
  <si>
    <t>Różnica między dochodami bieżącymi, skorygowanymi o środki a wydatkami bieżącymi, pomniejszonymi  o wydatki</t>
  </si>
  <si>
    <t>Różnica między dochodami bieżącymi a  wydatkami bieżącymi</t>
  </si>
  <si>
    <t>kwota przypadających na dany rok kwot ustawowych wyłączeń innych niż określone w art. 243 ustawy</t>
  </si>
  <si>
    <t>kwota przypadających na dany rok kwot ustawowych wyłączeń określonych w art. 243 ust. 3a ustawy</t>
  </si>
  <si>
    <t>kwota przypadających na dany rok kwot ustawowych wyłączeń określonych w art. 243 ust. 3 ustawy</t>
  </si>
  <si>
    <t>w tym łączna kwota przypadających na dany rok kwot ustawowych wyłączeń z limitu spłaty zobowiązań, o którym mowa w art. 243 ustawy, z tego:</t>
  </si>
  <si>
    <t>Spłaty rat kapitałowych kredytów i pożyczek oraz wykup papierów wartościowych</t>
  </si>
  <si>
    <t>w tym na pokrycie deficytu budżetu</t>
  </si>
  <si>
    <t>Kredyty, pożyczki, emisja papierów wartościowych</t>
  </si>
  <si>
    <t>odsetki i dyskonto określone w art. 243 ust. 1 ustawy, w tym:</t>
  </si>
  <si>
    <t>na spłatę przejętych zobowiązań samodzielnego publicznego zakładu opieki zdrowotnej przekształconego na zasadach określonych w przepisach  o działalności leczniczej, w wysokości w jakiej nie podlegają sfinansowaniu dotacją z budżetu państwa</t>
  </si>
  <si>
    <t>XLI/242/14</t>
  </si>
  <si>
    <t>KOWIESY</t>
  </si>
  <si>
    <t>[2.1] + [2.2]</t>
  </si>
  <si>
    <t>[1.1] + [1.2]</t>
  </si>
  <si>
    <t>Wieloletnia Prognoza Finansowa na lata 2014-2017 wraz z prognozą kwoty długu na lata 2014 -2022</t>
  </si>
  <si>
    <t>Załącznik Nr 1 do Uchwały Nr XLI/242/14 Rady Gminy Kowiesy z dnia 25 czerwca 2014 r.</t>
  </si>
  <si>
    <t>PROGNOZA</t>
  </si>
  <si>
    <t>Plan na 01.01.2014</t>
  </si>
  <si>
    <t>% wykonania</t>
  </si>
  <si>
    <t>Plan po zmianach na 30.06.2014</t>
  </si>
  <si>
    <t>Wykonanie na 30.06.2014</t>
  </si>
  <si>
    <t>INFORMACJA O KSZTAŁTOWANIU SIĘ WIELOLETNIEJ PROGNOZY FINANSOWEJ ZA PIERWSZE PÓŁROCZE 2014 ROKU</t>
  </si>
  <si>
    <t>Spełniona</t>
  </si>
</sst>
</file>

<file path=xl/styles.xml><?xml version="1.0" encoding="utf-8"?>
<styleSheet xmlns="http://schemas.openxmlformats.org/spreadsheetml/2006/main">
  <numFmts count="3">
    <numFmt numFmtId="164" formatCode="#,##0.00_ ;[Red]\-#,##0.00\ "/>
    <numFmt numFmtId="165" formatCode="0.0%"/>
    <numFmt numFmtId="166" formatCode="0.00%;[Red]\-0.00%"/>
  </numFmts>
  <fonts count="92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charset val="238"/>
    </font>
    <font>
      <b/>
      <sz val="10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sz val="9"/>
      <color indexed="8"/>
      <name val="Czcionka tekstu podstawowego"/>
      <charset val="238"/>
    </font>
    <font>
      <i/>
      <sz val="8"/>
      <color indexed="8"/>
      <name val="Czcionka tekstu podstawowego"/>
      <charset val="238"/>
    </font>
    <font>
      <b/>
      <sz val="11"/>
      <color indexed="8"/>
      <name val="Times New Roman"/>
      <family val="1"/>
      <charset val="238"/>
    </font>
    <font>
      <b/>
      <sz val="9"/>
      <color indexed="8"/>
      <name val="Czcionka tekstu podstawowego"/>
      <family val="2"/>
      <charset val="238"/>
    </font>
    <font>
      <sz val="9"/>
      <name val="Czcionka tekstu podstawowego"/>
      <charset val="238"/>
    </font>
    <font>
      <b/>
      <sz val="11"/>
      <name val="Czcionka tekstu podstawowego"/>
      <charset val="238"/>
    </font>
    <font>
      <b/>
      <sz val="12"/>
      <color indexed="8"/>
      <name val="Czcionka tekstu podstawowego"/>
      <charset val="238"/>
    </font>
    <font>
      <sz val="9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9"/>
      <name val="Czcionka tekstu podstawowego"/>
      <charset val="238"/>
    </font>
    <font>
      <b/>
      <sz val="8"/>
      <color indexed="8"/>
      <name val="Czcionka tekstu podstawowego"/>
      <charset val="238"/>
    </font>
    <font>
      <sz val="10"/>
      <color indexed="8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10"/>
      <color rgb="FFFF0000"/>
      <name val="Czcionka tekstu podstawowego"/>
      <charset val="238"/>
    </font>
    <font>
      <b/>
      <i/>
      <sz val="9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i/>
      <sz val="12"/>
      <color rgb="FFFF0000"/>
      <name val="Czcionka tekstu podstawowego"/>
      <charset val="238"/>
    </font>
    <font>
      <sz val="12"/>
      <color theme="1"/>
      <name val="Czcionka tekstu podstawowego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1"/>
      <color rgb="FF000000"/>
      <name val="Czcionka tekstu podstawowego"/>
    </font>
    <font>
      <sz val="12"/>
      <color theme="1"/>
      <name val="Czcionka tekstu podstawowego"/>
      <family val="2"/>
      <charset val="238"/>
    </font>
    <font>
      <sz val="14"/>
      <color indexed="8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b/>
      <sz val="14"/>
      <color indexed="8"/>
      <name val="Times New Roman"/>
      <family val="1"/>
      <charset val="238"/>
    </font>
    <font>
      <sz val="14"/>
      <color theme="1"/>
      <name val="Czcionka tekstu podstawowego"/>
      <family val="2"/>
      <charset val="238"/>
    </font>
    <font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96307"/>
        <bgColor indexed="64"/>
      </patternFill>
    </fill>
    <fill>
      <patternFill patternType="solid">
        <fgColor rgb="FFC1F1C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9FF77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6">
    <xf numFmtId="0" fontId="0" fillId="0" borderId="0"/>
    <xf numFmtId="0" fontId="1" fillId="2" borderId="0" applyNumberFormat="0" applyBorder="0" applyAlignment="0" applyProtection="0"/>
    <xf numFmtId="0" fontId="42" fillId="25" borderId="0" applyNumberFormat="0" applyBorder="0" applyAlignment="0" applyProtection="0"/>
    <xf numFmtId="0" fontId="1" fillId="3" borderId="0" applyNumberFormat="0" applyBorder="0" applyAlignment="0" applyProtection="0"/>
    <xf numFmtId="0" fontId="42" fillId="26" borderId="0" applyNumberFormat="0" applyBorder="0" applyAlignment="0" applyProtection="0"/>
    <xf numFmtId="0" fontId="1" fillId="4" borderId="0" applyNumberFormat="0" applyBorder="0" applyAlignment="0" applyProtection="0"/>
    <xf numFmtId="0" fontId="42" fillId="27" borderId="0" applyNumberFormat="0" applyBorder="0" applyAlignment="0" applyProtection="0"/>
    <xf numFmtId="0" fontId="1" fillId="5" borderId="0" applyNumberFormat="0" applyBorder="0" applyAlignment="0" applyProtection="0"/>
    <xf numFmtId="0" fontId="42" fillId="28" borderId="0" applyNumberFormat="0" applyBorder="0" applyAlignment="0" applyProtection="0"/>
    <xf numFmtId="0" fontId="1" fillId="6" borderId="0" applyNumberFormat="0" applyBorder="0" applyAlignment="0" applyProtection="0"/>
    <xf numFmtId="0" fontId="42" fillId="29" borderId="0" applyNumberFormat="0" applyBorder="0" applyAlignment="0" applyProtection="0"/>
    <xf numFmtId="0" fontId="1" fillId="7" borderId="0" applyNumberFormat="0" applyBorder="0" applyAlignment="0" applyProtection="0"/>
    <xf numFmtId="0" fontId="42" fillId="30" borderId="0" applyNumberFormat="0" applyBorder="0" applyAlignment="0" applyProtection="0"/>
    <xf numFmtId="0" fontId="1" fillId="8" borderId="0" applyNumberFormat="0" applyBorder="0" applyAlignment="0" applyProtection="0"/>
    <xf numFmtId="0" fontId="42" fillId="31" borderId="0" applyNumberFormat="0" applyBorder="0" applyAlignment="0" applyProtection="0"/>
    <xf numFmtId="0" fontId="1" fillId="9" borderId="0" applyNumberFormat="0" applyBorder="0" applyAlignment="0" applyProtection="0"/>
    <xf numFmtId="0" fontId="42" fillId="32" borderId="0" applyNumberFormat="0" applyBorder="0" applyAlignment="0" applyProtection="0"/>
    <xf numFmtId="0" fontId="1" fillId="10" borderId="0" applyNumberFormat="0" applyBorder="0" applyAlignment="0" applyProtection="0"/>
    <xf numFmtId="0" fontId="42" fillId="33" borderId="0" applyNumberFormat="0" applyBorder="0" applyAlignment="0" applyProtection="0"/>
    <xf numFmtId="0" fontId="1" fillId="5" borderId="0" applyNumberFormat="0" applyBorder="0" applyAlignment="0" applyProtection="0"/>
    <xf numFmtId="0" fontId="42" fillId="34" borderId="0" applyNumberFormat="0" applyBorder="0" applyAlignment="0" applyProtection="0"/>
    <xf numFmtId="0" fontId="1" fillId="8" borderId="0" applyNumberFormat="0" applyBorder="0" applyAlignment="0" applyProtection="0"/>
    <xf numFmtId="0" fontId="42" fillId="35" borderId="0" applyNumberFormat="0" applyBorder="0" applyAlignment="0" applyProtection="0"/>
    <xf numFmtId="0" fontId="1" fillId="11" borderId="0" applyNumberFormat="0" applyBorder="0" applyAlignment="0" applyProtection="0"/>
    <xf numFmtId="0" fontId="42" fillId="36" borderId="0" applyNumberFormat="0" applyBorder="0" applyAlignment="0" applyProtection="0"/>
    <xf numFmtId="0" fontId="12" fillId="12" borderId="0" applyNumberFormat="0" applyBorder="0" applyAlignment="0" applyProtection="0"/>
    <xf numFmtId="0" fontId="43" fillId="37" borderId="0" applyNumberFormat="0" applyBorder="0" applyAlignment="0" applyProtection="0"/>
    <xf numFmtId="0" fontId="12" fillId="9" borderId="0" applyNumberFormat="0" applyBorder="0" applyAlignment="0" applyProtection="0"/>
    <xf numFmtId="0" fontId="43" fillId="38" borderId="0" applyNumberFormat="0" applyBorder="0" applyAlignment="0" applyProtection="0"/>
    <xf numFmtId="0" fontId="12" fillId="10" borderId="0" applyNumberFormat="0" applyBorder="0" applyAlignment="0" applyProtection="0"/>
    <xf numFmtId="0" fontId="43" fillId="39" borderId="0" applyNumberFormat="0" applyBorder="0" applyAlignment="0" applyProtection="0"/>
    <xf numFmtId="0" fontId="12" fillId="13" borderId="0" applyNumberFormat="0" applyBorder="0" applyAlignment="0" applyProtection="0"/>
    <xf numFmtId="0" fontId="43" fillId="40" borderId="0" applyNumberFormat="0" applyBorder="0" applyAlignment="0" applyProtection="0"/>
    <xf numFmtId="0" fontId="12" fillId="14" borderId="0" applyNumberFormat="0" applyBorder="0" applyAlignment="0" applyProtection="0"/>
    <xf numFmtId="0" fontId="43" fillId="41" borderId="0" applyNumberFormat="0" applyBorder="0" applyAlignment="0" applyProtection="0"/>
    <xf numFmtId="0" fontId="12" fillId="15" borderId="0" applyNumberFormat="0" applyBorder="0" applyAlignment="0" applyProtection="0"/>
    <xf numFmtId="0" fontId="43" fillId="42" borderId="0" applyNumberFormat="0" applyBorder="0" applyAlignment="0" applyProtection="0"/>
    <xf numFmtId="0" fontId="12" fillId="16" borderId="0" applyNumberFormat="0" applyBorder="0" applyAlignment="0" applyProtection="0"/>
    <xf numFmtId="0" fontId="43" fillId="43" borderId="0" applyNumberFormat="0" applyBorder="0" applyAlignment="0" applyProtection="0"/>
    <xf numFmtId="0" fontId="12" fillId="17" borderId="0" applyNumberFormat="0" applyBorder="0" applyAlignment="0" applyProtection="0"/>
    <xf numFmtId="0" fontId="43" fillId="44" borderId="0" applyNumberFormat="0" applyBorder="0" applyAlignment="0" applyProtection="0"/>
    <xf numFmtId="0" fontId="12" fillId="18" borderId="0" applyNumberFormat="0" applyBorder="0" applyAlignment="0" applyProtection="0"/>
    <xf numFmtId="0" fontId="43" fillId="45" borderId="0" applyNumberFormat="0" applyBorder="0" applyAlignment="0" applyProtection="0"/>
    <xf numFmtId="0" fontId="12" fillId="13" borderId="0" applyNumberFormat="0" applyBorder="0" applyAlignment="0" applyProtection="0"/>
    <xf numFmtId="0" fontId="43" fillId="46" borderId="0" applyNumberFormat="0" applyBorder="0" applyAlignment="0" applyProtection="0"/>
    <xf numFmtId="0" fontId="12" fillId="14" borderId="0" applyNumberFormat="0" applyBorder="0" applyAlignment="0" applyProtection="0"/>
    <xf numFmtId="0" fontId="43" fillId="47" borderId="0" applyNumberFormat="0" applyBorder="0" applyAlignment="0" applyProtection="0"/>
    <xf numFmtId="0" fontId="12" fillId="19" borderId="0" applyNumberFormat="0" applyBorder="0" applyAlignment="0" applyProtection="0"/>
    <xf numFmtId="0" fontId="43" fillId="48" borderId="0" applyNumberFormat="0" applyBorder="0" applyAlignment="0" applyProtection="0"/>
    <xf numFmtId="0" fontId="13" fillId="7" borderId="1" applyNumberFormat="0" applyAlignment="0" applyProtection="0"/>
    <xf numFmtId="0" fontId="44" fillId="49" borderId="41" applyNumberFormat="0" applyAlignment="0" applyProtection="0"/>
    <xf numFmtId="0" fontId="14" fillId="20" borderId="2" applyNumberFormat="0" applyAlignment="0" applyProtection="0"/>
    <xf numFmtId="0" fontId="45" fillId="50" borderId="42" applyNumberFormat="0" applyAlignment="0" applyProtection="0"/>
    <xf numFmtId="0" fontId="15" fillId="4" borderId="0" applyNumberFormat="0" applyBorder="0" applyAlignment="0" applyProtection="0"/>
    <xf numFmtId="0" fontId="46" fillId="51" borderId="0" applyNumberFormat="0" applyBorder="0" applyAlignment="0" applyProtection="0"/>
    <xf numFmtId="0" fontId="16" fillId="0" borderId="3" applyNumberFormat="0" applyFill="0" applyAlignment="0" applyProtection="0"/>
    <xf numFmtId="0" fontId="47" fillId="0" borderId="43" applyNumberFormat="0" applyFill="0" applyAlignment="0" applyProtection="0"/>
    <xf numFmtId="0" fontId="17" fillId="21" borderId="4" applyNumberFormat="0" applyAlignment="0" applyProtection="0"/>
    <xf numFmtId="0" fontId="48" fillId="52" borderId="44" applyNumberFormat="0" applyAlignment="0" applyProtection="0"/>
    <xf numFmtId="0" fontId="18" fillId="0" borderId="5" applyNumberFormat="0" applyFill="0" applyAlignment="0" applyProtection="0"/>
    <xf numFmtId="0" fontId="49" fillId="0" borderId="45" applyNumberFormat="0" applyFill="0" applyAlignment="0" applyProtection="0"/>
    <xf numFmtId="0" fontId="19" fillId="0" borderId="6" applyNumberFormat="0" applyFill="0" applyAlignment="0" applyProtection="0"/>
    <xf numFmtId="0" fontId="50" fillId="0" borderId="46" applyNumberFormat="0" applyFill="0" applyAlignment="0" applyProtection="0"/>
    <xf numFmtId="0" fontId="20" fillId="0" borderId="7" applyNumberFormat="0" applyFill="0" applyAlignment="0" applyProtection="0"/>
    <xf numFmtId="0" fontId="51" fillId="0" borderId="47" applyNumberFormat="0" applyFill="0" applyAlignment="0" applyProtection="0"/>
    <xf numFmtId="0" fontId="2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52" fillId="53" borderId="0" applyNumberFormat="0" applyBorder="0" applyAlignment="0" applyProtection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" fillId="0" borderId="0"/>
    <xf numFmtId="0" fontId="6" fillId="0" borderId="0"/>
    <xf numFmtId="0" fontId="6" fillId="0" borderId="0"/>
    <xf numFmtId="0" fontId="5" fillId="0" borderId="0" applyProtection="0"/>
    <xf numFmtId="0" fontId="2" fillId="0" borderId="0"/>
    <xf numFmtId="0" fontId="1" fillId="0" borderId="0"/>
    <xf numFmtId="0" fontId="28" fillId="0" borderId="0"/>
    <xf numFmtId="0" fontId="6" fillId="0" borderId="0"/>
    <xf numFmtId="0" fontId="42" fillId="0" borderId="0"/>
    <xf numFmtId="0" fontId="22" fillId="20" borderId="1" applyNumberFormat="0" applyAlignment="0" applyProtection="0"/>
    <xf numFmtId="0" fontId="53" fillId="50" borderId="41" applyNumberFormat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3" fillId="0" borderId="8" applyNumberFormat="0" applyFill="0" applyAlignment="0" applyProtection="0"/>
    <xf numFmtId="0" fontId="55" fillId="0" borderId="48" applyNumberFormat="0" applyFill="0" applyAlignment="0" applyProtection="0"/>
    <xf numFmtId="0" fontId="2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42" fillId="54" borderId="49" applyNumberFormat="0" applyFont="0" applyAlignment="0" applyProtection="0"/>
    <xf numFmtId="0" fontId="27" fillId="3" borderId="0" applyNumberFormat="0" applyBorder="0" applyAlignment="0" applyProtection="0"/>
    <xf numFmtId="0" fontId="59" fillId="55" borderId="0" applyNumberFormat="0" applyBorder="0" applyAlignment="0" applyProtection="0"/>
  </cellStyleXfs>
  <cellXfs count="377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0" fillId="0" borderId="0" xfId="0" applyFont="1"/>
    <xf numFmtId="0" fontId="61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8" fillId="0" borderId="0" xfId="0" applyFont="1" applyFill="1"/>
    <xf numFmtId="0" fontId="62" fillId="0" borderId="0" xfId="0" applyFont="1" applyAlignment="1">
      <alignment horizontal="right"/>
    </xf>
    <xf numFmtId="1" fontId="63" fillId="0" borderId="0" xfId="0" applyNumberFormat="1" applyFont="1" applyAlignment="1">
      <alignment horizontal="center" vertical="center"/>
    </xf>
    <xf numFmtId="164" fontId="63" fillId="0" borderId="0" xfId="0" applyNumberFormat="1" applyFont="1" applyAlignment="1">
      <alignment vertical="center"/>
    </xf>
    <xf numFmtId="2" fontId="63" fillId="0" borderId="0" xfId="0" applyNumberFormat="1" applyFont="1" applyAlignment="1">
      <alignment vertical="center"/>
    </xf>
    <xf numFmtId="49" fontId="63" fillId="0" borderId="0" xfId="0" applyNumberFormat="1" applyFont="1" applyAlignment="1">
      <alignment vertical="center"/>
    </xf>
    <xf numFmtId="0" fontId="63" fillId="0" borderId="0" xfId="0" applyFont="1" applyAlignment="1">
      <alignment vertical="center"/>
    </xf>
    <xf numFmtId="14" fontId="63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0" xfId="0"/>
    <xf numFmtId="0" fontId="8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 wrapText="1"/>
    </xf>
    <xf numFmtId="0" fontId="29" fillId="0" borderId="0" xfId="0" applyFont="1" applyAlignment="1">
      <alignment horizontal="left" indent="1"/>
    </xf>
    <xf numFmtId="164" fontId="8" fillId="0" borderId="0" xfId="0" applyNumberFormat="1" applyFont="1"/>
    <xf numFmtId="165" fontId="8" fillId="56" borderId="0" xfId="88" applyNumberFormat="1" applyFont="1" applyFill="1" applyAlignment="1">
      <alignment vertical="center"/>
    </xf>
    <xf numFmtId="165" fontId="8" fillId="57" borderId="0" xfId="88" applyNumberFormat="1" applyFont="1" applyFill="1" applyAlignment="1">
      <alignment vertical="center"/>
    </xf>
    <xf numFmtId="165" fontId="8" fillId="58" borderId="0" xfId="88" applyNumberFormat="1" applyFont="1" applyFill="1" applyAlignment="1">
      <alignment vertical="center"/>
    </xf>
    <xf numFmtId="165" fontId="9" fillId="58" borderId="0" xfId="86" applyNumberFormat="1" applyFont="1" applyFill="1" applyAlignment="1">
      <alignment vertical="center"/>
    </xf>
    <xf numFmtId="165" fontId="9" fillId="57" borderId="0" xfId="86" applyNumberFormat="1" applyFont="1" applyFill="1" applyAlignment="1">
      <alignment vertical="center"/>
    </xf>
    <xf numFmtId="165" fontId="9" fillId="56" borderId="0" xfId="86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63" fillId="0" borderId="0" xfId="0" applyFont="1" applyAlignment="1">
      <alignment horizontal="center" vertical="center"/>
    </xf>
    <xf numFmtId="0" fontId="63" fillId="0" borderId="0" xfId="0" applyFont="1"/>
    <xf numFmtId="49" fontId="31" fillId="59" borderId="11" xfId="80" applyNumberFormat="1" applyFont="1" applyFill="1" applyBorder="1" applyAlignment="1">
      <alignment horizontal="center" vertical="center"/>
    </xf>
    <xf numFmtId="1" fontId="31" fillId="59" borderId="12" xfId="80" applyNumberFormat="1" applyFont="1" applyFill="1" applyBorder="1" applyAlignment="1">
      <alignment horizontal="center" vertical="center"/>
    </xf>
    <xf numFmtId="0" fontId="0" fillId="0" borderId="0" xfId="0" applyFont="1"/>
    <xf numFmtId="0" fontId="54" fillId="0" borderId="0" xfId="0" applyFont="1"/>
    <xf numFmtId="1" fontId="31" fillId="59" borderId="14" xfId="80" applyNumberFormat="1" applyFont="1" applyFill="1" applyBorder="1" applyAlignment="1">
      <alignment horizontal="center" vertical="center"/>
    </xf>
    <xf numFmtId="0" fontId="65" fillId="0" borderId="15" xfId="0" applyFont="1" applyBorder="1" applyAlignment="1">
      <alignment horizontal="left" vertical="center"/>
    </xf>
    <xf numFmtId="0" fontId="66" fillId="0" borderId="15" xfId="0" applyFont="1" applyBorder="1" applyAlignment="1">
      <alignment horizontal="left" vertical="center"/>
    </xf>
    <xf numFmtId="164" fontId="4" fillId="60" borderId="16" xfId="80" applyNumberFormat="1" applyFont="1" applyFill="1" applyBorder="1" applyAlignment="1">
      <alignment vertical="center" shrinkToFit="1"/>
    </xf>
    <xf numFmtId="164" fontId="4" fillId="60" borderId="17" xfId="80" applyNumberFormat="1" applyFont="1" applyFill="1" applyBorder="1" applyAlignment="1">
      <alignment vertical="center" shrinkToFit="1"/>
    </xf>
    <xf numFmtId="164" fontId="4" fillId="0" borderId="18" xfId="80" applyNumberFormat="1" applyFont="1" applyFill="1" applyBorder="1" applyAlignment="1">
      <alignment vertical="center" shrinkToFit="1"/>
    </xf>
    <xf numFmtId="164" fontId="4" fillId="0" borderId="16" xfId="80" applyNumberFormat="1" applyFont="1" applyFill="1" applyBorder="1" applyAlignment="1">
      <alignment vertical="center" shrinkToFit="1"/>
    </xf>
    <xf numFmtId="164" fontId="3" fillId="60" borderId="16" xfId="80" applyNumberFormat="1" applyFont="1" applyFill="1" applyBorder="1" applyAlignment="1">
      <alignment vertical="center" shrinkToFit="1"/>
    </xf>
    <xf numFmtId="164" fontId="3" fillId="60" borderId="17" xfId="80" applyNumberFormat="1" applyFont="1" applyFill="1" applyBorder="1" applyAlignment="1">
      <alignment vertical="center" shrinkToFit="1"/>
    </xf>
    <xf numFmtId="164" fontId="3" fillId="0" borderId="18" xfId="80" applyNumberFormat="1" applyFont="1" applyFill="1" applyBorder="1" applyAlignment="1">
      <alignment vertical="center" shrinkToFit="1"/>
    </xf>
    <xf numFmtId="164" fontId="3" fillId="0" borderId="16" xfId="80" applyNumberFormat="1" applyFont="1" applyFill="1" applyBorder="1" applyAlignment="1">
      <alignment vertical="center" shrinkToFit="1"/>
    </xf>
    <xf numFmtId="49" fontId="31" fillId="24" borderId="0" xfId="0" applyNumberFormat="1" applyFont="1" applyFill="1" applyAlignment="1" applyProtection="1">
      <alignment vertical="center"/>
      <protection locked="0"/>
    </xf>
    <xf numFmtId="0" fontId="31" fillId="24" borderId="0" xfId="0" applyFont="1" applyFill="1" applyBorder="1" applyAlignment="1" applyProtection="1">
      <alignment vertical="center"/>
      <protection locked="0"/>
    </xf>
    <xf numFmtId="166" fontId="3" fillId="60" borderId="16" xfId="80" applyNumberFormat="1" applyFont="1" applyFill="1" applyBorder="1" applyAlignment="1">
      <alignment vertical="center" shrinkToFit="1"/>
    </xf>
    <xf numFmtId="166" fontId="3" fillId="60" borderId="17" xfId="80" applyNumberFormat="1" applyFont="1" applyFill="1" applyBorder="1" applyAlignment="1">
      <alignment vertical="center" shrinkToFit="1"/>
    </xf>
    <xf numFmtId="166" fontId="3" fillId="0" borderId="18" xfId="80" applyNumberFormat="1" applyFont="1" applyFill="1" applyBorder="1" applyAlignment="1">
      <alignment vertical="center" shrinkToFit="1"/>
    </xf>
    <xf numFmtId="166" fontId="3" fillId="0" borderId="16" xfId="80" applyNumberFormat="1" applyFont="1" applyFill="1" applyBorder="1" applyAlignment="1">
      <alignment vertical="center" shrinkToFit="1"/>
    </xf>
    <xf numFmtId="164" fontId="4" fillId="60" borderId="16" xfId="80" applyNumberFormat="1" applyFont="1" applyFill="1" applyBorder="1" applyAlignment="1">
      <alignment horizontal="center" vertical="center" shrinkToFit="1"/>
    </xf>
    <xf numFmtId="164" fontId="4" fillId="60" borderId="17" xfId="80" applyNumberFormat="1" applyFont="1" applyFill="1" applyBorder="1" applyAlignment="1">
      <alignment horizontal="center" vertical="center" shrinkToFit="1"/>
    </xf>
    <xf numFmtId="164" fontId="4" fillId="0" borderId="18" xfId="80" applyNumberFormat="1" applyFont="1" applyFill="1" applyBorder="1" applyAlignment="1">
      <alignment horizontal="center" vertical="center" shrinkToFit="1"/>
    </xf>
    <xf numFmtId="164" fontId="4" fillId="0" borderId="16" xfId="80" applyNumberFormat="1" applyFont="1" applyFill="1" applyBorder="1" applyAlignment="1">
      <alignment horizontal="center" vertical="center" shrinkToFit="1"/>
    </xf>
    <xf numFmtId="164" fontId="3" fillId="60" borderId="19" xfId="80" applyNumberFormat="1" applyFont="1" applyFill="1" applyBorder="1" applyAlignment="1">
      <alignment vertical="center" shrinkToFit="1"/>
    </xf>
    <xf numFmtId="164" fontId="3" fillId="60" borderId="20" xfId="80" applyNumberFormat="1" applyFont="1" applyFill="1" applyBorder="1" applyAlignment="1">
      <alignment vertical="center" shrinkToFit="1"/>
    </xf>
    <xf numFmtId="164" fontId="3" fillId="0" borderId="21" xfId="80" applyNumberFormat="1" applyFont="1" applyFill="1" applyBorder="1" applyAlignment="1">
      <alignment vertical="center" shrinkToFit="1"/>
    </xf>
    <xf numFmtId="164" fontId="3" fillId="0" borderId="19" xfId="80" applyNumberFormat="1" applyFont="1" applyFill="1" applyBorder="1" applyAlignment="1">
      <alignment vertical="center" shrinkToFit="1"/>
    </xf>
    <xf numFmtId="0" fontId="11" fillId="0" borderId="0" xfId="0" applyFont="1" applyFill="1"/>
    <xf numFmtId="0" fontId="10" fillId="0" borderId="0" xfId="0" applyFont="1" applyFill="1"/>
    <xf numFmtId="165" fontId="9" fillId="0" borderId="0" xfId="86" applyNumberFormat="1" applyFont="1" applyFill="1" applyAlignment="1">
      <alignment vertical="center"/>
    </xf>
    <xf numFmtId="165" fontId="8" fillId="0" borderId="0" xfId="88" applyNumberFormat="1" applyFont="1" applyFill="1" applyAlignment="1">
      <alignment vertical="center"/>
    </xf>
    <xf numFmtId="0" fontId="29" fillId="0" borderId="0" xfId="0" applyFont="1" applyFill="1" applyAlignment="1">
      <alignment horizontal="left" indent="1"/>
    </xf>
    <xf numFmtId="0" fontId="64" fillId="0" borderId="0" xfId="0" applyFont="1" applyBorder="1" applyAlignment="1">
      <alignment horizontal="center" vertical="center"/>
    </xf>
    <xf numFmtId="0" fontId="0" fillId="0" borderId="0" xfId="0"/>
    <xf numFmtId="0" fontId="33" fillId="61" borderId="22" xfId="0" applyFont="1" applyFill="1" applyBorder="1" applyAlignment="1">
      <alignment horizontal="left" vertical="center" wrapText="1"/>
    </xf>
    <xf numFmtId="0" fontId="33" fillId="61" borderId="23" xfId="0" applyFont="1" applyFill="1" applyBorder="1" applyAlignment="1">
      <alignment horizontal="left" vertical="center" wrapText="1"/>
    </xf>
    <xf numFmtId="0" fontId="33" fillId="57" borderId="23" xfId="0" applyFont="1" applyFill="1" applyBorder="1" applyAlignment="1">
      <alignment horizontal="left" vertical="center" wrapText="1"/>
    </xf>
    <xf numFmtId="0" fontId="33" fillId="56" borderId="23" xfId="0" applyFont="1" applyFill="1" applyBorder="1" applyAlignment="1">
      <alignment horizontal="left" vertical="center" wrapText="1"/>
    </xf>
    <xf numFmtId="0" fontId="33" fillId="56" borderId="24" xfId="0" applyFont="1" applyFill="1" applyBorder="1" applyAlignment="1">
      <alignment horizontal="left" vertical="center" wrapText="1"/>
    </xf>
    <xf numFmtId="164" fontId="4" fillId="60" borderId="15" xfId="80" applyNumberFormat="1" applyFont="1" applyFill="1" applyBorder="1" applyAlignment="1">
      <alignment vertical="center" shrinkToFit="1"/>
    </xf>
    <xf numFmtId="164" fontId="3" fillId="60" borderId="15" xfId="80" applyNumberFormat="1" applyFont="1" applyFill="1" applyBorder="1" applyAlignment="1">
      <alignment vertical="center" shrinkToFit="1"/>
    </xf>
    <xf numFmtId="166" fontId="3" fillId="60" borderId="15" xfId="80" applyNumberFormat="1" applyFont="1" applyFill="1" applyBorder="1" applyAlignment="1">
      <alignment vertical="center" shrinkToFit="1"/>
    </xf>
    <xf numFmtId="164" fontId="4" fillId="60" borderId="15" xfId="80" applyNumberFormat="1" applyFont="1" applyFill="1" applyBorder="1" applyAlignment="1">
      <alignment horizontal="center" vertical="center" shrinkToFit="1"/>
    </xf>
    <xf numFmtId="164" fontId="3" fillId="60" borderId="25" xfId="80" applyNumberFormat="1" applyFont="1" applyFill="1" applyBorder="1" applyAlignment="1">
      <alignment vertical="center" shrinkToFit="1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49" fontId="31" fillId="0" borderId="0" xfId="0" applyNumberFormat="1" applyFont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49" fontId="31" fillId="59" borderId="26" xfId="8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Protection="1">
      <protection locked="0"/>
    </xf>
    <xf numFmtId="0" fontId="66" fillId="0" borderId="15" xfId="0" applyFont="1" applyBorder="1" applyAlignment="1" applyProtection="1">
      <alignment horizontal="left" vertical="center"/>
      <protection locked="0"/>
    </xf>
    <xf numFmtId="0" fontId="66" fillId="0" borderId="27" xfId="0" applyFont="1" applyBorder="1" applyAlignment="1" applyProtection="1">
      <alignment horizontal="left" vertical="center"/>
      <protection locked="0"/>
    </xf>
    <xf numFmtId="0" fontId="8" fillId="0" borderId="28" xfId="0" applyFont="1" applyBorder="1" applyProtection="1">
      <protection locked="0"/>
    </xf>
    <xf numFmtId="0" fontId="8" fillId="0" borderId="0" xfId="0" applyFont="1" applyFill="1" applyProtection="1">
      <protection locked="0"/>
    </xf>
    <xf numFmtId="0" fontId="32" fillId="0" borderId="0" xfId="0" applyFont="1" applyBorder="1" applyProtection="1"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9" fillId="0" borderId="0" xfId="0" applyFont="1" applyBorder="1" applyAlignment="1" applyProtection="1">
      <alignment vertical="center"/>
      <protection locked="0"/>
    </xf>
    <xf numFmtId="0" fontId="64" fillId="0" borderId="0" xfId="0" applyFont="1" applyBorder="1" applyAlignment="1" applyProtection="1">
      <alignment vertical="center" wrapText="1"/>
      <protection locked="0"/>
    </xf>
    <xf numFmtId="0" fontId="64" fillId="0" borderId="0" xfId="0" applyFont="1" applyBorder="1" applyAlignment="1" applyProtection="1">
      <alignment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64" fillId="0" borderId="0" xfId="0" applyFont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0" fontId="33" fillId="61" borderId="0" xfId="0" applyFont="1" applyFill="1" applyBorder="1" applyAlignment="1" applyProtection="1">
      <alignment horizontal="left" vertical="center" wrapText="1"/>
      <protection locked="0"/>
    </xf>
    <xf numFmtId="0" fontId="33" fillId="57" borderId="0" xfId="0" applyFont="1" applyFill="1" applyBorder="1" applyAlignment="1" applyProtection="1">
      <alignment horizontal="left" vertical="center" wrapText="1"/>
      <protection locked="0"/>
    </xf>
    <xf numFmtId="0" fontId="33" fillId="56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Protection="1">
      <protection locked="0"/>
    </xf>
    <xf numFmtId="0" fontId="67" fillId="0" borderId="0" xfId="0" applyFont="1" applyProtection="1">
      <protection locked="0"/>
    </xf>
    <xf numFmtId="0" fontId="70" fillId="0" borderId="0" xfId="0" applyFont="1" applyProtection="1">
      <protection locked="0"/>
    </xf>
    <xf numFmtId="0" fontId="71" fillId="0" borderId="0" xfId="0" applyFont="1" applyProtection="1">
      <protection locked="0"/>
    </xf>
    <xf numFmtId="0" fontId="68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72" fillId="0" borderId="0" xfId="0" applyFont="1"/>
    <xf numFmtId="0" fontId="3" fillId="63" borderId="29" xfId="0" applyFont="1" applyFill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3" fillId="63" borderId="30" xfId="0" applyFont="1" applyFill="1" applyBorder="1" applyAlignment="1">
      <alignment vertical="center"/>
    </xf>
    <xf numFmtId="4" fontId="3" fillId="0" borderId="18" xfId="0" applyNumberFormat="1" applyFont="1" applyBorder="1" applyAlignment="1">
      <alignment vertical="center"/>
    </xf>
    <xf numFmtId="4" fontId="3" fillId="0" borderId="16" xfId="0" applyNumberFormat="1" applyFont="1" applyBorder="1" applyAlignment="1">
      <alignment vertical="center"/>
    </xf>
    <xf numFmtId="0" fontId="36" fillId="63" borderId="30" xfId="0" applyFont="1" applyFill="1" applyBorder="1" applyAlignment="1">
      <alignment horizontal="left" vertical="center" wrapText="1"/>
    </xf>
    <xf numFmtId="0" fontId="36" fillId="63" borderId="31" xfId="0" applyFont="1" applyFill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0" fontId="3" fillId="0" borderId="0" xfId="0" applyFont="1"/>
    <xf numFmtId="0" fontId="4" fillId="0" borderId="32" xfId="0" applyFont="1" applyBorder="1" applyAlignment="1">
      <alignment vertical="center"/>
    </xf>
    <xf numFmtId="165" fontId="4" fillId="60" borderId="12" xfId="0" applyNumberFormat="1" applyFont="1" applyFill="1" applyBorder="1" applyAlignment="1">
      <alignment horizontal="right" vertical="center"/>
    </xf>
    <xf numFmtId="165" fontId="4" fillId="60" borderId="13" xfId="0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left" vertical="center" indent="1"/>
    </xf>
    <xf numFmtId="165" fontId="3" fillId="0" borderId="18" xfId="86" applyNumberFormat="1" applyFont="1" applyFill="1" applyBorder="1" applyAlignment="1">
      <alignment horizontal="right" vertical="center"/>
    </xf>
    <xf numFmtId="165" fontId="3" fillId="0" borderId="16" xfId="86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left" vertical="center" wrapText="1" indent="2"/>
    </xf>
    <xf numFmtId="0" fontId="3" fillId="0" borderId="34" xfId="0" applyFont="1" applyBorder="1" applyAlignment="1">
      <alignment horizontal="left" vertical="center" wrapText="1" indent="2"/>
    </xf>
    <xf numFmtId="165" fontId="3" fillId="0" borderId="35" xfId="86" applyNumberFormat="1" applyFont="1" applyFill="1" applyBorder="1" applyAlignment="1">
      <alignment horizontal="right" vertical="center"/>
    </xf>
    <xf numFmtId="165" fontId="3" fillId="0" borderId="36" xfId="86" applyNumberFormat="1" applyFont="1" applyFill="1" applyBorder="1" applyAlignment="1">
      <alignment horizontal="right" vertical="center"/>
    </xf>
    <xf numFmtId="0" fontId="3" fillId="0" borderId="33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indent="1"/>
    </xf>
    <xf numFmtId="165" fontId="3" fillId="0" borderId="21" xfId="86" applyNumberFormat="1" applyFont="1" applyFill="1" applyBorder="1" applyAlignment="1">
      <alignment horizontal="right" vertical="center"/>
    </xf>
    <xf numFmtId="165" fontId="3" fillId="0" borderId="19" xfId="86" applyNumberFormat="1" applyFont="1" applyFill="1" applyBorder="1" applyAlignment="1">
      <alignment horizontal="right" vertical="center"/>
    </xf>
    <xf numFmtId="0" fontId="37" fillId="0" borderId="0" xfId="0" applyFont="1" applyFill="1"/>
    <xf numFmtId="0" fontId="3" fillId="0" borderId="0" xfId="0" applyFont="1" applyAlignment="1">
      <alignment vertical="center"/>
    </xf>
    <xf numFmtId="164" fontId="4" fillId="60" borderId="11" xfId="0" applyNumberFormat="1" applyFont="1" applyFill="1" applyBorder="1" applyAlignment="1">
      <alignment vertical="center"/>
    </xf>
    <xf numFmtId="164" fontId="4" fillId="60" borderId="12" xfId="0" applyNumberFormat="1" applyFont="1" applyFill="1" applyBorder="1" applyAlignment="1">
      <alignment vertical="center"/>
    </xf>
    <xf numFmtId="164" fontId="4" fillId="60" borderId="13" xfId="0" applyNumberFormat="1" applyFont="1" applyFill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164" fontId="3" fillId="0" borderId="21" xfId="0" applyNumberFormat="1" applyFont="1" applyBorder="1" applyAlignment="1">
      <alignment vertical="center"/>
    </xf>
    <xf numFmtId="164" fontId="3" fillId="0" borderId="19" xfId="0" applyNumberFormat="1" applyFont="1" applyBorder="1" applyAlignment="1">
      <alignment vertical="center"/>
    </xf>
    <xf numFmtId="164" fontId="3" fillId="60" borderId="15" xfId="0" applyNumberFormat="1" applyFont="1" applyFill="1" applyBorder="1" applyAlignment="1">
      <alignment vertical="center"/>
    </xf>
    <xf numFmtId="164" fontId="3" fillId="60" borderId="16" xfId="0" applyNumberFormat="1" applyFont="1" applyFill="1" applyBorder="1" applyAlignment="1">
      <alignment vertical="center"/>
    </xf>
    <xf numFmtId="164" fontId="3" fillId="60" borderId="17" xfId="0" applyNumberFormat="1" applyFont="1" applyFill="1" applyBorder="1" applyAlignment="1">
      <alignment vertical="center"/>
    </xf>
    <xf numFmtId="164" fontId="3" fillId="60" borderId="25" xfId="0" applyNumberFormat="1" applyFont="1" applyFill="1" applyBorder="1" applyAlignment="1">
      <alignment vertical="center"/>
    </xf>
    <xf numFmtId="164" fontId="3" fillId="60" borderId="19" xfId="0" applyNumberFormat="1" applyFont="1" applyFill="1" applyBorder="1" applyAlignment="1">
      <alignment vertical="center"/>
    </xf>
    <xf numFmtId="164" fontId="3" fillId="60" borderId="20" xfId="0" applyNumberFormat="1" applyFont="1" applyFill="1" applyBorder="1" applyAlignment="1">
      <alignment vertical="center"/>
    </xf>
    <xf numFmtId="4" fontId="3" fillId="60" borderId="11" xfId="0" applyNumberFormat="1" applyFont="1" applyFill="1" applyBorder="1" applyAlignment="1">
      <alignment vertical="center"/>
    </xf>
    <xf numFmtId="4" fontId="3" fillId="60" borderId="12" xfId="0" applyNumberFormat="1" applyFont="1" applyFill="1" applyBorder="1" applyAlignment="1">
      <alignment vertical="center"/>
    </xf>
    <xf numFmtId="4" fontId="3" fillId="60" borderId="13" xfId="0" applyNumberFormat="1" applyFont="1" applyFill="1" applyBorder="1" applyAlignment="1">
      <alignment vertical="center"/>
    </xf>
    <xf numFmtId="4" fontId="3" fillId="60" borderId="15" xfId="0" applyNumberFormat="1" applyFont="1" applyFill="1" applyBorder="1" applyAlignment="1">
      <alignment vertical="center"/>
    </xf>
    <xf numFmtId="4" fontId="3" fillId="60" borderId="16" xfId="0" applyNumberFormat="1" applyFont="1" applyFill="1" applyBorder="1" applyAlignment="1">
      <alignment vertical="center"/>
    </xf>
    <xf numFmtId="4" fontId="3" fillId="60" borderId="17" xfId="0" applyNumberFormat="1" applyFont="1" applyFill="1" applyBorder="1" applyAlignment="1">
      <alignment vertical="center"/>
    </xf>
    <xf numFmtId="4" fontId="3" fillId="60" borderId="19" xfId="0" applyNumberFormat="1" applyFont="1" applyFill="1" applyBorder="1" applyAlignment="1">
      <alignment vertical="center"/>
    </xf>
    <xf numFmtId="4" fontId="3" fillId="60" borderId="20" xfId="0" applyNumberFormat="1" applyFont="1" applyFill="1" applyBorder="1" applyAlignment="1">
      <alignment vertical="center"/>
    </xf>
    <xf numFmtId="165" fontId="3" fillId="60" borderId="16" xfId="0" applyNumberFormat="1" applyFont="1" applyFill="1" applyBorder="1" applyAlignment="1">
      <alignment horizontal="right" vertical="center"/>
    </xf>
    <xf numFmtId="165" fontId="3" fillId="60" borderId="17" xfId="0" applyNumberFormat="1" applyFont="1" applyFill="1" applyBorder="1" applyAlignment="1">
      <alignment horizontal="right" vertical="center"/>
    </xf>
    <xf numFmtId="165" fontId="3" fillId="60" borderId="16" xfId="0" applyNumberFormat="1" applyFont="1" applyFill="1" applyBorder="1" applyAlignment="1">
      <alignment horizontal="right" vertical="center" wrapText="1"/>
    </xf>
    <xf numFmtId="165" fontId="3" fillId="60" borderId="17" xfId="0" applyNumberFormat="1" applyFont="1" applyFill="1" applyBorder="1" applyAlignment="1">
      <alignment horizontal="right" vertical="center" wrapText="1"/>
    </xf>
    <xf numFmtId="165" fontId="3" fillId="60" borderId="36" xfId="0" applyNumberFormat="1" applyFont="1" applyFill="1" applyBorder="1" applyAlignment="1">
      <alignment horizontal="right" vertical="center" wrapText="1"/>
    </xf>
    <xf numFmtId="165" fontId="3" fillId="60" borderId="37" xfId="0" applyNumberFormat="1" applyFont="1" applyFill="1" applyBorder="1" applyAlignment="1">
      <alignment horizontal="right" vertical="center" wrapText="1"/>
    </xf>
    <xf numFmtId="165" fontId="4" fillId="60" borderId="16" xfId="0" applyNumberFormat="1" applyFont="1" applyFill="1" applyBorder="1" applyAlignment="1">
      <alignment horizontal="right" vertical="center"/>
    </xf>
    <xf numFmtId="165" fontId="4" fillId="60" borderId="17" xfId="0" applyNumberFormat="1" applyFont="1" applyFill="1" applyBorder="1" applyAlignment="1">
      <alignment horizontal="right" vertical="center"/>
    </xf>
    <xf numFmtId="165" fontId="3" fillId="60" borderId="19" xfId="0" applyNumberFormat="1" applyFont="1" applyFill="1" applyBorder="1" applyAlignment="1">
      <alignment horizontal="right" vertical="center" wrapText="1"/>
    </xf>
    <xf numFmtId="165" fontId="3" fillId="60" borderId="20" xfId="0" applyNumberFormat="1" applyFont="1" applyFill="1" applyBorder="1" applyAlignment="1">
      <alignment horizontal="right" vertical="center" wrapText="1"/>
    </xf>
    <xf numFmtId="164" fontId="4" fillId="60" borderId="12" xfId="0" applyNumberFormat="1" applyFont="1" applyFill="1" applyBorder="1" applyAlignment="1">
      <alignment horizontal="right" vertical="center"/>
    </xf>
    <xf numFmtId="164" fontId="4" fillId="60" borderId="13" xfId="0" applyNumberFormat="1" applyFont="1" applyFill="1" applyBorder="1" applyAlignment="1">
      <alignment horizontal="right" vertical="center"/>
    </xf>
    <xf numFmtId="164" fontId="4" fillId="60" borderId="15" xfId="0" applyNumberFormat="1" applyFont="1" applyFill="1" applyBorder="1" applyAlignment="1">
      <alignment vertical="center"/>
    </xf>
    <xf numFmtId="164" fontId="4" fillId="60" borderId="16" xfId="0" applyNumberFormat="1" applyFont="1" applyFill="1" applyBorder="1" applyAlignment="1">
      <alignment vertical="center"/>
    </xf>
    <xf numFmtId="164" fontId="4" fillId="60" borderId="17" xfId="0" applyNumberFormat="1" applyFont="1" applyFill="1" applyBorder="1" applyAlignment="1">
      <alignment vertical="center"/>
    </xf>
    <xf numFmtId="164" fontId="3" fillId="60" borderId="16" xfId="0" applyNumberFormat="1" applyFont="1" applyFill="1" applyBorder="1" applyAlignment="1">
      <alignment horizontal="right" vertical="center"/>
    </xf>
    <xf numFmtId="164" fontId="3" fillId="60" borderId="17" xfId="0" applyNumberFormat="1" applyFont="1" applyFill="1" applyBorder="1" applyAlignment="1">
      <alignment horizontal="right" vertical="center"/>
    </xf>
    <xf numFmtId="164" fontId="3" fillId="60" borderId="16" xfId="0" applyNumberFormat="1" applyFont="1" applyFill="1" applyBorder="1" applyAlignment="1">
      <alignment horizontal="right" vertical="center" wrapText="1"/>
    </xf>
    <xf numFmtId="164" fontId="3" fillId="60" borderId="17" xfId="0" applyNumberFormat="1" applyFont="1" applyFill="1" applyBorder="1" applyAlignment="1">
      <alignment horizontal="right" vertical="center" wrapText="1"/>
    </xf>
    <xf numFmtId="164" fontId="3" fillId="60" borderId="19" xfId="0" applyNumberFormat="1" applyFont="1" applyFill="1" applyBorder="1" applyAlignment="1">
      <alignment horizontal="right" vertical="center" wrapText="1"/>
    </xf>
    <xf numFmtId="164" fontId="3" fillId="60" borderId="20" xfId="0" applyNumberFormat="1" applyFont="1" applyFill="1" applyBorder="1" applyAlignment="1">
      <alignment horizontal="right" vertical="center" wrapText="1"/>
    </xf>
    <xf numFmtId="164" fontId="4" fillId="60" borderId="16" xfId="0" applyNumberFormat="1" applyFont="1" applyFill="1" applyBorder="1" applyAlignment="1">
      <alignment horizontal="right" vertical="center"/>
    </xf>
    <xf numFmtId="164" fontId="4" fillId="60" borderId="17" xfId="0" applyNumberFormat="1" applyFont="1" applyFill="1" applyBorder="1" applyAlignment="1">
      <alignment horizontal="right" vertical="center"/>
    </xf>
    <xf numFmtId="0" fontId="4" fillId="0" borderId="0" xfId="0" applyFont="1"/>
    <xf numFmtId="165" fontId="4" fillId="0" borderId="14" xfId="86" applyNumberFormat="1" applyFont="1" applyFill="1" applyBorder="1" applyAlignment="1">
      <alignment horizontal="right" vertical="center"/>
    </xf>
    <xf numFmtId="165" fontId="4" fillId="0" borderId="12" xfId="86" applyNumberFormat="1" applyFont="1" applyFill="1" applyBorder="1" applyAlignment="1">
      <alignment horizontal="right" vertical="center"/>
    </xf>
    <xf numFmtId="0" fontId="73" fillId="0" borderId="0" xfId="0" applyFont="1"/>
    <xf numFmtId="165" fontId="4" fillId="0" borderId="18" xfId="86" applyNumberFormat="1" applyFont="1" applyFill="1" applyBorder="1" applyAlignment="1">
      <alignment horizontal="right" vertical="center"/>
    </xf>
    <xf numFmtId="165" fontId="4" fillId="0" borderId="16" xfId="86" applyNumberFormat="1" applyFont="1" applyFill="1" applyBorder="1" applyAlignment="1">
      <alignment horizontal="right" vertical="center"/>
    </xf>
    <xf numFmtId="164" fontId="4" fillId="0" borderId="14" xfId="0" applyNumberFormat="1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164" fontId="4" fillId="0" borderId="18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3" fillId="0" borderId="32" xfId="0" applyFont="1" applyBorder="1"/>
    <xf numFmtId="10" fontId="3" fillId="0" borderId="14" xfId="0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0" fontId="3" fillId="0" borderId="34" xfId="0" applyFont="1" applyBorder="1"/>
    <xf numFmtId="10" fontId="3" fillId="0" borderId="21" xfId="0" applyNumberFormat="1" applyFont="1" applyFill="1" applyBorder="1" applyAlignment="1">
      <alignment vertical="center"/>
    </xf>
    <xf numFmtId="10" fontId="3" fillId="0" borderId="19" xfId="0" applyNumberFormat="1" applyFont="1" applyFill="1" applyBorder="1" applyAlignment="1">
      <alignment vertical="center"/>
    </xf>
    <xf numFmtId="0" fontId="3" fillId="0" borderId="18" xfId="80" applyNumberFormat="1" applyFont="1" applyFill="1" applyBorder="1" applyAlignment="1">
      <alignment horizontal="center" vertical="center" shrinkToFit="1"/>
    </xf>
    <xf numFmtId="0" fontId="3" fillId="0" borderId="16" xfId="80" applyNumberFormat="1" applyFont="1" applyFill="1" applyBorder="1" applyAlignment="1">
      <alignment horizontal="center" vertical="center" shrinkToFit="1"/>
    </xf>
    <xf numFmtId="0" fontId="35" fillId="0" borderId="0" xfId="0" applyFont="1"/>
    <xf numFmtId="0" fontId="31" fillId="0" borderId="0" xfId="0" applyFont="1"/>
    <xf numFmtId="0" fontId="33" fillId="0" borderId="38" xfId="0" applyFont="1" applyFill="1" applyBorder="1" applyAlignment="1" applyProtection="1">
      <alignment vertical="center"/>
      <protection locked="0"/>
    </xf>
    <xf numFmtId="0" fontId="38" fillId="0" borderId="38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</xf>
    <xf numFmtId="4" fontId="3" fillId="60" borderId="25" xfId="0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62" fillId="0" borderId="18" xfId="0" applyNumberFormat="1" applyFont="1" applyFill="1" applyBorder="1" applyAlignment="1">
      <alignment horizontal="center" vertical="center"/>
    </xf>
    <xf numFmtId="0" fontId="62" fillId="0" borderId="16" xfId="0" applyNumberFormat="1" applyFont="1" applyFill="1" applyBorder="1" applyAlignment="1">
      <alignment horizontal="center" vertical="center"/>
    </xf>
    <xf numFmtId="164" fontId="62" fillId="0" borderId="18" xfId="0" applyNumberFormat="1" applyFont="1" applyFill="1" applyBorder="1" applyAlignment="1">
      <alignment horizontal="center" vertical="center"/>
    </xf>
    <xf numFmtId="164" fontId="62" fillId="0" borderId="16" xfId="0" applyNumberFormat="1" applyFont="1" applyFill="1" applyBorder="1" applyAlignment="1">
      <alignment horizontal="center" vertical="center"/>
    </xf>
    <xf numFmtId="49" fontId="31" fillId="59" borderId="22" xfId="80" applyNumberFormat="1" applyFont="1" applyFill="1" applyBorder="1" applyAlignment="1">
      <alignment horizontal="center" vertical="center"/>
    </xf>
    <xf numFmtId="0" fontId="65" fillId="0" borderId="23" xfId="0" applyFont="1" applyBorder="1" applyAlignment="1">
      <alignment horizontal="left" vertical="center" wrapText="1"/>
    </xf>
    <xf numFmtId="0" fontId="65" fillId="0" borderId="23" xfId="0" applyFont="1" applyBorder="1" applyAlignment="1">
      <alignment vertical="center" wrapText="1"/>
    </xf>
    <xf numFmtId="0" fontId="66" fillId="0" borderId="27" xfId="0" applyFont="1" applyBorder="1" applyAlignment="1">
      <alignment horizontal="left" vertical="center" wrapText="1" indent="1"/>
    </xf>
    <xf numFmtId="0" fontId="66" fillId="0" borderId="27" xfId="0" applyFont="1" applyBorder="1" applyAlignment="1">
      <alignment horizontal="left" vertical="center" wrapText="1" indent="2"/>
    </xf>
    <xf numFmtId="0" fontId="66" fillId="0" borderId="27" xfId="0" applyFont="1" applyBorder="1" applyAlignment="1">
      <alignment horizontal="left" vertical="center" wrapText="1" indent="3"/>
    </xf>
    <xf numFmtId="0" fontId="74" fillId="0" borderId="29" xfId="83" applyFont="1" applyBorder="1" applyAlignment="1">
      <alignment vertical="center"/>
    </xf>
    <xf numFmtId="0" fontId="74" fillId="0" borderId="30" xfId="83" applyFont="1" applyBorder="1" applyAlignment="1">
      <alignment vertical="center"/>
    </xf>
    <xf numFmtId="0" fontId="74" fillId="0" borderId="31" xfId="83" applyFont="1" applyBorder="1" applyAlignment="1">
      <alignment vertical="center"/>
    </xf>
    <xf numFmtId="0" fontId="75" fillId="0" borderId="29" xfId="83" applyFont="1" applyBorder="1" applyAlignment="1">
      <alignment vertical="center"/>
    </xf>
    <xf numFmtId="0" fontId="75" fillId="0" borderId="26" xfId="83" applyFont="1" applyBorder="1" applyAlignment="1">
      <alignment vertical="center"/>
    </xf>
    <xf numFmtId="0" fontId="75" fillId="0" borderId="30" xfId="83" applyFont="1" applyBorder="1" applyAlignment="1">
      <alignment vertical="center"/>
    </xf>
    <xf numFmtId="0" fontId="75" fillId="0" borderId="31" xfId="83" applyFont="1" applyBorder="1" applyAlignment="1">
      <alignment vertical="center"/>
    </xf>
    <xf numFmtId="0" fontId="75" fillId="0" borderId="39" xfId="83" applyFont="1" applyBorder="1" applyAlignment="1">
      <alignment vertical="center"/>
    </xf>
    <xf numFmtId="0" fontId="66" fillId="0" borderId="39" xfId="0" applyFont="1" applyBorder="1" applyAlignment="1">
      <alignment horizontal="left" vertical="center" wrapText="1" indent="1"/>
    </xf>
    <xf numFmtId="0" fontId="76" fillId="0" borderId="30" xfId="83" applyFont="1" applyBorder="1" applyAlignment="1">
      <alignment vertical="center"/>
    </xf>
    <xf numFmtId="0" fontId="77" fillId="0" borderId="30" xfId="83" applyFont="1" applyBorder="1" applyAlignment="1">
      <alignment vertical="center"/>
    </xf>
    <xf numFmtId="4" fontId="3" fillId="6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6" fillId="0" borderId="27" xfId="83" applyFont="1" applyBorder="1" applyAlignment="1">
      <alignment vertical="center"/>
    </xf>
    <xf numFmtId="0" fontId="61" fillId="0" borderId="0" xfId="0" applyFont="1" applyAlignment="1">
      <alignment horizontal="left" vertical="center"/>
    </xf>
    <xf numFmtId="10" fontId="3" fillId="60" borderId="11" xfId="0" applyNumberFormat="1" applyFont="1" applyFill="1" applyBorder="1" applyAlignment="1">
      <alignment horizontal="center" vertical="center"/>
    </xf>
    <xf numFmtId="10" fontId="3" fillId="60" borderId="12" xfId="0" applyNumberFormat="1" applyFont="1" applyFill="1" applyBorder="1" applyAlignment="1">
      <alignment horizontal="center" vertical="center"/>
    </xf>
    <xf numFmtId="10" fontId="3" fillId="60" borderId="13" xfId="0" applyNumberFormat="1" applyFont="1" applyFill="1" applyBorder="1" applyAlignment="1">
      <alignment horizontal="center" vertical="center"/>
    </xf>
    <xf numFmtId="10" fontId="3" fillId="60" borderId="25" xfId="0" applyNumberFormat="1" applyFont="1" applyFill="1" applyBorder="1" applyAlignment="1">
      <alignment horizontal="center" vertical="center"/>
    </xf>
    <xf numFmtId="10" fontId="3" fillId="60" borderId="19" xfId="0" applyNumberFormat="1" applyFont="1" applyFill="1" applyBorder="1" applyAlignment="1">
      <alignment horizontal="center" vertical="center"/>
    </xf>
    <xf numFmtId="10" fontId="3" fillId="60" borderId="20" xfId="0" applyNumberFormat="1" applyFont="1" applyFill="1" applyBorder="1" applyAlignment="1">
      <alignment horizontal="center" vertical="center"/>
    </xf>
    <xf numFmtId="165" fontId="4" fillId="60" borderId="11" xfId="0" applyNumberFormat="1" applyFont="1" applyFill="1" applyBorder="1" applyAlignment="1">
      <alignment horizontal="center" vertical="center"/>
    </xf>
    <xf numFmtId="165" fontId="3" fillId="60" borderId="15" xfId="0" applyNumberFormat="1" applyFont="1" applyFill="1" applyBorder="1" applyAlignment="1">
      <alignment horizontal="center" vertical="center"/>
    </xf>
    <xf numFmtId="165" fontId="3" fillId="60" borderId="15" xfId="0" applyNumberFormat="1" applyFont="1" applyFill="1" applyBorder="1" applyAlignment="1">
      <alignment horizontal="center" vertical="center" wrapText="1"/>
    </xf>
    <xf numFmtId="165" fontId="3" fillId="60" borderId="40" xfId="0" applyNumberFormat="1" applyFont="1" applyFill="1" applyBorder="1" applyAlignment="1">
      <alignment horizontal="center" vertical="center" wrapText="1"/>
    </xf>
    <xf numFmtId="165" fontId="4" fillId="60" borderId="15" xfId="0" applyNumberFormat="1" applyFont="1" applyFill="1" applyBorder="1" applyAlignment="1">
      <alignment horizontal="center" vertical="center"/>
    </xf>
    <xf numFmtId="165" fontId="3" fillId="60" borderId="25" xfId="0" applyNumberFormat="1" applyFont="1" applyFill="1" applyBorder="1" applyAlignment="1">
      <alignment horizontal="center" vertical="center" wrapText="1"/>
    </xf>
    <xf numFmtId="164" fontId="4" fillId="60" borderId="11" xfId="0" applyNumberFormat="1" applyFont="1" applyFill="1" applyBorder="1" applyAlignment="1">
      <alignment horizontal="center" vertical="center"/>
    </xf>
    <xf numFmtId="164" fontId="3" fillId="60" borderId="15" xfId="0" applyNumberFormat="1" applyFont="1" applyFill="1" applyBorder="1" applyAlignment="1">
      <alignment horizontal="center" vertical="center"/>
    </xf>
    <xf numFmtId="164" fontId="3" fillId="60" borderId="15" xfId="0" applyNumberFormat="1" applyFont="1" applyFill="1" applyBorder="1" applyAlignment="1">
      <alignment horizontal="center" vertical="center" wrapText="1"/>
    </xf>
    <xf numFmtId="164" fontId="3" fillId="60" borderId="25" xfId="0" applyNumberFormat="1" applyFont="1" applyFill="1" applyBorder="1" applyAlignment="1">
      <alignment horizontal="center" vertical="center" wrapText="1"/>
    </xf>
    <xf numFmtId="164" fontId="4" fillId="60" borderId="15" xfId="0" applyNumberFormat="1" applyFont="1" applyFill="1" applyBorder="1" applyAlignment="1">
      <alignment horizontal="center" vertical="center"/>
    </xf>
    <xf numFmtId="0" fontId="33" fillId="60" borderId="11" xfId="0" applyFont="1" applyFill="1" applyBorder="1" applyAlignment="1">
      <alignment horizontal="center" vertical="center" wrapText="1"/>
    </xf>
    <xf numFmtId="0" fontId="33" fillId="60" borderId="12" xfId="0" applyFont="1" applyFill="1" applyBorder="1" applyAlignment="1">
      <alignment horizontal="center" vertical="center" wrapText="1"/>
    </xf>
    <xf numFmtId="0" fontId="33" fillId="60" borderId="13" xfId="0" applyFont="1" applyFill="1" applyBorder="1" applyAlignment="1">
      <alignment horizontal="center" vertical="center" wrapText="1"/>
    </xf>
    <xf numFmtId="0" fontId="33" fillId="60" borderId="15" xfId="0" applyFont="1" applyFill="1" applyBorder="1" applyAlignment="1">
      <alignment horizontal="center" vertical="center" wrapText="1"/>
    </xf>
    <xf numFmtId="0" fontId="33" fillId="60" borderId="16" xfId="0" applyFont="1" applyFill="1" applyBorder="1" applyAlignment="1">
      <alignment horizontal="center" vertical="center" wrapText="1"/>
    </xf>
    <xf numFmtId="0" fontId="33" fillId="60" borderId="17" xfId="0" applyFont="1" applyFill="1" applyBorder="1" applyAlignment="1">
      <alignment horizontal="center" vertical="center" wrapText="1"/>
    </xf>
    <xf numFmtId="0" fontId="33" fillId="60" borderId="15" xfId="0" applyFont="1" applyFill="1" applyBorder="1" applyAlignment="1">
      <alignment horizontal="center" vertical="center"/>
    </xf>
    <xf numFmtId="0" fontId="33" fillId="60" borderId="25" xfId="0" applyFont="1" applyFill="1" applyBorder="1" applyAlignment="1">
      <alignment horizontal="center" vertical="center" wrapText="1"/>
    </xf>
    <xf numFmtId="0" fontId="33" fillId="60" borderId="19" xfId="0" applyFont="1" applyFill="1" applyBorder="1" applyAlignment="1">
      <alignment horizontal="center" vertical="center" wrapText="1"/>
    </xf>
    <xf numFmtId="0" fontId="33" fillId="60" borderId="20" xfId="0" applyFont="1" applyFill="1" applyBorder="1" applyAlignment="1">
      <alignment horizontal="center" vertical="center" wrapText="1"/>
    </xf>
    <xf numFmtId="4" fontId="3" fillId="60" borderId="16" xfId="0" applyNumberFormat="1" applyFont="1" applyFill="1" applyBorder="1" applyAlignment="1">
      <alignment horizontal="center" vertical="center"/>
    </xf>
    <xf numFmtId="4" fontId="3" fillId="60" borderId="19" xfId="0" applyNumberFormat="1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 wrapText="1"/>
    </xf>
    <xf numFmtId="165" fontId="4" fillId="0" borderId="0" xfId="88" applyNumberFormat="1" applyFont="1" applyFill="1" applyAlignment="1">
      <alignment horizontal="center" vertical="center" wrapText="1"/>
    </xf>
    <xf numFmtId="164" fontId="8" fillId="0" borderId="0" xfId="0" applyNumberFormat="1" applyFont="1" applyBorder="1" applyAlignment="1" applyProtection="1">
      <alignment vertical="center"/>
    </xf>
    <xf numFmtId="0" fontId="0" fillId="0" borderId="0" xfId="0"/>
    <xf numFmtId="0" fontId="66" fillId="0" borderId="25" xfId="0" applyFont="1" applyBorder="1" applyAlignment="1">
      <alignment horizontal="left" vertical="center"/>
    </xf>
    <xf numFmtId="0" fontId="33" fillId="56" borderId="23" xfId="0" applyFont="1" applyFill="1" applyBorder="1" applyAlignment="1">
      <alignment horizontal="left" vertical="center" wrapText="1"/>
    </xf>
    <xf numFmtId="0" fontId="74" fillId="0" borderId="30" xfId="83" applyFont="1" applyBorder="1" applyAlignment="1">
      <alignment vertical="center"/>
    </xf>
    <xf numFmtId="0" fontId="75" fillId="0" borderId="30" xfId="83" applyFont="1" applyBorder="1" applyAlignment="1">
      <alignment vertical="center"/>
    </xf>
    <xf numFmtId="0" fontId="75" fillId="0" borderId="27" xfId="83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3" fillId="60" borderId="15" xfId="0" applyFont="1" applyFill="1" applyBorder="1" applyAlignment="1">
      <alignment horizontal="center" vertical="center" wrapText="1"/>
    </xf>
    <xf numFmtId="0" fontId="33" fillId="60" borderId="16" xfId="0" applyFont="1" applyFill="1" applyBorder="1" applyAlignment="1">
      <alignment horizontal="center" vertical="center" wrapText="1"/>
    </xf>
    <xf numFmtId="0" fontId="33" fillId="60" borderId="17" xfId="0" applyFont="1" applyFill="1" applyBorder="1" applyAlignment="1">
      <alignment horizontal="center" vertical="center" wrapText="1"/>
    </xf>
    <xf numFmtId="0" fontId="40" fillId="0" borderId="0" xfId="0" applyFont="1" applyAlignment="1" applyProtection="1">
      <alignment horizontal="right"/>
      <protection locked="0"/>
    </xf>
    <xf numFmtId="0" fontId="40" fillId="0" borderId="0" xfId="0" applyFont="1" applyAlignment="1" applyProtection="1">
      <alignment horizontal="right" vertical="center"/>
      <protection locked="0"/>
    </xf>
    <xf numFmtId="0" fontId="40" fillId="0" borderId="0" xfId="0" applyFont="1" applyBorder="1" applyAlignment="1" applyProtection="1">
      <alignment horizontal="right" vertical="center"/>
      <protection locked="0"/>
    </xf>
    <xf numFmtId="1" fontId="31" fillId="59" borderId="11" xfId="80" applyNumberFormat="1" applyFont="1" applyFill="1" applyBorder="1" applyAlignment="1">
      <alignment horizontal="center" vertical="center" wrapText="1"/>
    </xf>
    <xf numFmtId="1" fontId="31" fillId="59" borderId="12" xfId="80" applyNumberFormat="1" applyFont="1" applyFill="1" applyBorder="1" applyAlignment="1">
      <alignment horizontal="center" vertical="center" wrapText="1"/>
    </xf>
    <xf numFmtId="1" fontId="31" fillId="59" borderId="13" xfId="80" applyNumberFormat="1" applyFont="1" applyFill="1" applyBorder="1" applyAlignment="1">
      <alignment horizontal="center" vertical="center" wrapText="1"/>
    </xf>
    <xf numFmtId="0" fontId="67" fillId="0" borderId="0" xfId="0" applyFont="1" applyAlignment="1" applyProtection="1">
      <protection locked="0"/>
    </xf>
    <xf numFmtId="0" fontId="70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/>
    <xf numFmtId="0" fontId="65" fillId="0" borderId="27" xfId="0" applyFont="1" applyBorder="1" applyAlignment="1" applyProtection="1">
      <alignment horizontal="left" vertical="center"/>
      <protection locked="0"/>
    </xf>
    <xf numFmtId="0" fontId="66" fillId="0" borderId="39" xfId="0" applyFont="1" applyBorder="1" applyAlignment="1" applyProtection="1">
      <alignment horizontal="left" vertical="center"/>
      <protection locked="0"/>
    </xf>
    <xf numFmtId="0" fontId="7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0" fontId="66" fillId="56" borderId="27" xfId="0" applyFont="1" applyFill="1" applyBorder="1" applyAlignment="1" applyProtection="1">
      <alignment horizontal="left" vertical="center"/>
      <protection locked="0"/>
    </xf>
    <xf numFmtId="0" fontId="66" fillId="0" borderId="27" xfId="0" applyFont="1" applyBorder="1" applyAlignment="1">
      <alignment horizontal="left" vertical="center" wrapText="1" indent="4"/>
    </xf>
    <xf numFmtId="0" fontId="66" fillId="0" borderId="23" xfId="0" applyFont="1" applyBorder="1" applyAlignment="1" applyProtection="1">
      <alignment horizontal="left" vertical="center" wrapText="1" indent="1"/>
      <protection locked="0"/>
    </xf>
    <xf numFmtId="0" fontId="66" fillId="0" borderId="27" xfId="0" quotePrefix="1" applyFont="1" applyBorder="1" applyAlignment="1">
      <alignment horizontal="left" vertical="center" wrapText="1" indent="3"/>
    </xf>
    <xf numFmtId="0" fontId="66" fillId="0" borderId="27" xfId="0" quotePrefix="1" applyFont="1" applyBorder="1" applyAlignment="1">
      <alignment horizontal="left" vertical="center" wrapText="1" indent="2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66" fillId="0" borderId="27" xfId="0" applyFont="1" applyBorder="1" applyAlignment="1">
      <alignment vertical="center" wrapText="1"/>
    </xf>
    <xf numFmtId="0" fontId="79" fillId="0" borderId="0" xfId="0" applyFont="1" applyAlignment="1">
      <alignment horizontal="center" vertical="center"/>
    </xf>
    <xf numFmtId="0" fontId="80" fillId="0" borderId="0" xfId="0" applyFont="1" applyBorder="1" applyAlignment="1" applyProtection="1">
      <alignment vertical="center"/>
      <protection locked="0"/>
    </xf>
    <xf numFmtId="49" fontId="82" fillId="59" borderId="11" xfId="80" applyNumberFormat="1" applyFont="1" applyFill="1" applyBorder="1" applyAlignment="1">
      <alignment horizontal="center" vertical="center"/>
    </xf>
    <xf numFmtId="49" fontId="82" fillId="59" borderId="26" xfId="80" applyNumberFormat="1" applyFont="1" applyFill="1" applyBorder="1" applyAlignment="1" applyProtection="1">
      <alignment horizontal="center" vertical="center"/>
      <protection locked="0"/>
    </xf>
    <xf numFmtId="49" fontId="82" fillId="59" borderId="22" xfId="80" applyNumberFormat="1" applyFont="1" applyFill="1" applyBorder="1" applyAlignment="1">
      <alignment horizontal="center" vertical="center"/>
    </xf>
    <xf numFmtId="49" fontId="82" fillId="59" borderId="32" xfId="80" applyNumberFormat="1" applyFont="1" applyFill="1" applyBorder="1" applyAlignment="1">
      <alignment horizontal="center" vertical="center" wrapText="1"/>
    </xf>
    <xf numFmtId="1" fontId="82" fillId="59" borderId="14" xfId="80" applyNumberFormat="1" applyFont="1" applyFill="1" applyBorder="1" applyAlignment="1">
      <alignment horizontal="center" vertical="center" wrapText="1"/>
    </xf>
    <xf numFmtId="1" fontId="82" fillId="59" borderId="12" xfId="80" applyNumberFormat="1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84" fillId="0" borderId="27" xfId="0" applyFont="1" applyBorder="1" applyAlignment="1">
      <alignment horizontal="left" vertical="center" wrapText="1" indent="1"/>
    </xf>
    <xf numFmtId="0" fontId="84" fillId="0" borderId="27" xfId="0" applyFont="1" applyBorder="1" applyAlignment="1">
      <alignment horizontal="left" vertical="center" wrapText="1" indent="2"/>
    </xf>
    <xf numFmtId="0" fontId="79" fillId="0" borderId="38" xfId="0" applyFont="1" applyBorder="1" applyAlignment="1">
      <alignment horizontal="center" vertical="center"/>
    </xf>
    <xf numFmtId="0" fontId="85" fillId="0" borderId="15" xfId="0" applyFont="1" applyBorder="1" applyAlignment="1">
      <alignment horizontal="left" vertical="center"/>
    </xf>
    <xf numFmtId="0" fontId="85" fillId="0" borderId="27" xfId="0" applyFont="1" applyBorder="1" applyAlignment="1" applyProtection="1">
      <alignment horizontal="left" vertical="center"/>
      <protection locked="0"/>
    </xf>
    <xf numFmtId="0" fontId="85" fillId="0" borderId="23" xfId="0" applyFont="1" applyBorder="1" applyAlignment="1">
      <alignment vertical="center" wrapText="1"/>
    </xf>
    <xf numFmtId="164" fontId="86" fillId="0" borderId="15" xfId="80" applyNumberFormat="1" applyFont="1" applyFill="1" applyBorder="1" applyAlignment="1">
      <alignment vertical="center" shrinkToFit="1"/>
    </xf>
    <xf numFmtId="164" fontId="86" fillId="62" borderId="18" xfId="80" applyNumberFormat="1" applyFont="1" applyFill="1" applyBorder="1" applyAlignment="1" applyProtection="1">
      <alignment vertical="center" shrinkToFit="1"/>
    </xf>
    <xf numFmtId="164" fontId="86" fillId="62" borderId="16" xfId="80" applyNumberFormat="1" applyFont="1" applyFill="1" applyBorder="1" applyAlignment="1" applyProtection="1">
      <alignment vertical="center" shrinkToFit="1"/>
    </xf>
    <xf numFmtId="0" fontId="87" fillId="0" borderId="15" xfId="0" applyFont="1" applyBorder="1" applyAlignment="1">
      <alignment horizontal="left" vertical="center"/>
    </xf>
    <xf numFmtId="0" fontId="87" fillId="0" borderId="27" xfId="0" applyFont="1" applyBorder="1" applyAlignment="1" applyProtection="1">
      <alignment horizontal="left" vertical="center"/>
      <protection locked="0"/>
    </xf>
    <xf numFmtId="0" fontId="87" fillId="0" borderId="27" xfId="0" applyFont="1" applyBorder="1" applyAlignment="1">
      <alignment horizontal="left" vertical="center" wrapText="1" indent="1"/>
    </xf>
    <xf numFmtId="164" fontId="88" fillId="0" borderId="15" xfId="80" applyNumberFormat="1" applyFont="1" applyFill="1" applyBorder="1" applyAlignment="1">
      <alignment vertical="center" shrinkToFit="1"/>
    </xf>
    <xf numFmtId="164" fontId="88" fillId="64" borderId="18" xfId="80" applyNumberFormat="1" applyFont="1" applyFill="1" applyBorder="1" applyAlignment="1" applyProtection="1">
      <alignment vertical="center" shrinkToFit="1"/>
    </xf>
    <xf numFmtId="164" fontId="88" fillId="64" borderId="16" xfId="80" applyNumberFormat="1" applyFont="1" applyFill="1" applyBorder="1" applyAlignment="1" applyProtection="1">
      <alignment vertical="center" shrinkToFit="1"/>
    </xf>
    <xf numFmtId="0" fontId="87" fillId="0" borderId="27" xfId="0" applyFont="1" applyBorder="1" applyAlignment="1">
      <alignment horizontal="left" vertical="center" wrapText="1" indent="2"/>
    </xf>
    <xf numFmtId="0" fontId="87" fillId="0" borderId="27" xfId="0" applyFont="1" applyBorder="1" applyAlignment="1">
      <alignment horizontal="left" vertical="center" wrapText="1" indent="3"/>
    </xf>
    <xf numFmtId="0" fontId="87" fillId="0" borderId="27" xfId="0" applyFont="1" applyBorder="1" applyAlignment="1">
      <alignment horizontal="left" vertical="center" wrapText="1" indent="4"/>
    </xf>
    <xf numFmtId="164" fontId="86" fillId="62" borderId="15" xfId="80" applyNumberFormat="1" applyFont="1" applyFill="1" applyBorder="1" applyAlignment="1" applyProtection="1">
      <alignment vertical="center" shrinkToFit="1"/>
    </xf>
    <xf numFmtId="164" fontId="86" fillId="62" borderId="16" xfId="80" applyNumberFormat="1" applyFont="1" applyFill="1" applyBorder="1" applyAlignment="1" applyProtection="1">
      <alignment horizontal="right" vertical="center" shrinkToFit="1"/>
    </xf>
    <xf numFmtId="164" fontId="88" fillId="64" borderId="15" xfId="80" applyNumberFormat="1" applyFont="1" applyFill="1" applyBorder="1" applyAlignment="1" applyProtection="1">
      <alignment vertical="center" shrinkToFit="1"/>
    </xf>
    <xf numFmtId="164" fontId="88" fillId="62" borderId="15" xfId="80" applyNumberFormat="1" applyFont="1" applyFill="1" applyBorder="1" applyAlignment="1" applyProtection="1">
      <alignment vertical="center" shrinkToFit="1"/>
    </xf>
    <xf numFmtId="164" fontId="88" fillId="62" borderId="18" xfId="80" applyNumberFormat="1" applyFont="1" applyFill="1" applyBorder="1" applyAlignment="1" applyProtection="1">
      <alignment vertical="center" shrinkToFit="1"/>
    </xf>
    <xf numFmtId="164" fontId="88" fillId="62" borderId="16" xfId="80" applyNumberFormat="1" applyFont="1" applyFill="1" applyBorder="1" applyAlignment="1" applyProtection="1">
      <alignment vertical="center" shrinkToFit="1"/>
    </xf>
    <xf numFmtId="0" fontId="87" fillId="0" borderId="27" xfId="0" applyFont="1" applyBorder="1" applyAlignment="1" applyProtection="1">
      <alignment horizontal="left" vertical="center" wrapText="1" indent="3"/>
      <protection locked="0"/>
    </xf>
    <xf numFmtId="164" fontId="89" fillId="65" borderId="15" xfId="80" applyNumberFormat="1" applyFont="1" applyFill="1" applyBorder="1" applyAlignment="1" applyProtection="1">
      <alignment horizontal="right" vertical="center" shrinkToFit="1"/>
    </xf>
    <xf numFmtId="164" fontId="89" fillId="65" borderId="18" xfId="80" applyNumberFormat="1" applyFont="1" applyFill="1" applyBorder="1" applyAlignment="1" applyProtection="1">
      <alignment horizontal="right" vertical="center" shrinkToFit="1"/>
    </xf>
    <xf numFmtId="164" fontId="89" fillId="65" borderId="16" xfId="80" applyNumberFormat="1" applyFont="1" applyFill="1" applyBorder="1" applyAlignment="1" applyProtection="1">
      <alignment horizontal="right" vertical="center" shrinkToFit="1"/>
    </xf>
    <xf numFmtId="164" fontId="89" fillId="65" borderId="16" xfId="80" applyNumberFormat="1" applyFont="1" applyFill="1" applyBorder="1" applyAlignment="1" applyProtection="1">
      <alignment horizontal="center" vertical="center" shrinkToFit="1"/>
    </xf>
    <xf numFmtId="164" fontId="86" fillId="64" borderId="15" xfId="80" applyNumberFormat="1" applyFont="1" applyFill="1" applyBorder="1" applyAlignment="1" applyProtection="1">
      <alignment vertical="center" shrinkToFit="1"/>
    </xf>
    <xf numFmtId="164" fontId="86" fillId="64" borderId="18" xfId="80" applyNumberFormat="1" applyFont="1" applyFill="1" applyBorder="1" applyAlignment="1" applyProtection="1">
      <alignment vertical="center" shrinkToFit="1"/>
    </xf>
    <xf numFmtId="164" fontId="86" fillId="64" borderId="16" xfId="80" applyNumberFormat="1" applyFont="1" applyFill="1" applyBorder="1" applyAlignment="1" applyProtection="1">
      <alignment vertical="center" shrinkToFit="1"/>
    </xf>
    <xf numFmtId="164" fontId="86" fillId="0" borderId="15" xfId="80" applyNumberFormat="1" applyFont="1" applyFill="1" applyBorder="1" applyAlignment="1" applyProtection="1">
      <alignment horizontal="center" vertical="center" shrinkToFit="1"/>
    </xf>
    <xf numFmtId="164" fontId="86" fillId="0" borderId="18" xfId="80" applyNumberFormat="1" applyFont="1" applyFill="1" applyBorder="1" applyAlignment="1" applyProtection="1">
      <alignment horizontal="center" vertical="center" shrinkToFit="1"/>
    </xf>
    <xf numFmtId="164" fontId="86" fillId="0" borderId="16" xfId="80" applyNumberFormat="1" applyFont="1" applyFill="1" applyBorder="1" applyAlignment="1" applyProtection="1">
      <alignment horizontal="center" vertical="center" shrinkToFit="1"/>
    </xf>
    <xf numFmtId="164" fontId="88" fillId="62" borderId="16" xfId="80" applyNumberFormat="1" applyFont="1" applyFill="1" applyBorder="1" applyAlignment="1" applyProtection="1">
      <alignment horizontal="center" vertical="center" shrinkToFit="1"/>
    </xf>
    <xf numFmtId="166" fontId="88" fillId="62" borderId="15" xfId="80" applyNumberFormat="1" applyFont="1" applyFill="1" applyBorder="1" applyAlignment="1" applyProtection="1">
      <alignment horizontal="right" vertical="center" shrinkToFit="1"/>
    </xf>
    <xf numFmtId="166" fontId="88" fillId="62" borderId="18" xfId="80" applyNumberFormat="1" applyFont="1" applyFill="1" applyBorder="1" applyAlignment="1" applyProtection="1">
      <alignment horizontal="right" vertical="center" shrinkToFit="1"/>
    </xf>
    <xf numFmtId="166" fontId="88" fillId="62" borderId="16" xfId="80" applyNumberFormat="1" applyFont="1" applyFill="1" applyBorder="1" applyAlignment="1" applyProtection="1">
      <alignment horizontal="right" vertical="center" shrinkToFit="1"/>
    </xf>
    <xf numFmtId="0" fontId="87" fillId="0" borderId="27" xfId="0" applyFont="1" applyFill="1" applyBorder="1" applyAlignment="1" applyProtection="1">
      <alignment horizontal="left" vertical="center" wrapText="1"/>
      <protection locked="0"/>
    </xf>
    <xf numFmtId="0" fontId="87" fillId="0" borderId="15" xfId="0" applyFont="1" applyBorder="1" applyAlignment="1" applyProtection="1">
      <alignment horizontal="left" vertical="center"/>
      <protection locked="0"/>
    </xf>
    <xf numFmtId="0" fontId="87" fillId="0" borderId="27" xfId="0" applyFont="1" applyFill="1" applyBorder="1" applyAlignment="1" applyProtection="1">
      <alignment horizontal="left" vertical="center"/>
      <protection locked="0"/>
    </xf>
    <xf numFmtId="0" fontId="87" fillId="0" borderId="23" xfId="0" applyFont="1" applyBorder="1" applyAlignment="1" applyProtection="1">
      <alignment horizontal="left" vertical="center" wrapText="1" indent="1"/>
      <protection locked="0"/>
    </xf>
    <xf numFmtId="0" fontId="88" fillId="62" borderId="15" xfId="80" applyNumberFormat="1" applyFont="1" applyFill="1" applyBorder="1" applyAlignment="1" applyProtection="1">
      <alignment horizontal="right" vertical="center" shrinkToFit="1"/>
    </xf>
    <xf numFmtId="0" fontId="88" fillId="62" borderId="18" xfId="80" applyNumberFormat="1" applyFont="1" applyFill="1" applyBorder="1" applyAlignment="1" applyProtection="1">
      <alignment horizontal="right" vertical="center" shrinkToFit="1"/>
    </xf>
    <xf numFmtId="0" fontId="88" fillId="62" borderId="18" xfId="80" applyNumberFormat="1" applyFont="1" applyFill="1" applyBorder="1" applyAlignment="1" applyProtection="1">
      <alignment horizontal="center" vertical="center" shrinkToFit="1"/>
    </xf>
    <xf numFmtId="164" fontId="86" fillId="64" borderId="16" xfId="80" applyNumberFormat="1" applyFont="1" applyFill="1" applyBorder="1" applyAlignment="1" applyProtection="1">
      <alignment horizontal="center" vertical="center" shrinkToFit="1"/>
    </xf>
    <xf numFmtId="164" fontId="88" fillId="64" borderId="16" xfId="80" applyNumberFormat="1" applyFont="1" applyFill="1" applyBorder="1" applyAlignment="1" applyProtection="1">
      <alignment horizontal="center" vertical="center" shrinkToFit="1"/>
    </xf>
    <xf numFmtId="0" fontId="87" fillId="0" borderId="27" xfId="0" quotePrefix="1" applyFont="1" applyBorder="1" applyAlignment="1">
      <alignment horizontal="left" vertical="center" wrapText="1" indent="2"/>
    </xf>
    <xf numFmtId="0" fontId="87" fillId="0" borderId="27" xfId="0" quotePrefix="1" applyFont="1" applyBorder="1" applyAlignment="1">
      <alignment horizontal="left" vertical="center" wrapText="1" indent="3"/>
    </xf>
    <xf numFmtId="164" fontId="90" fillId="65" borderId="15" xfId="80" applyNumberFormat="1" applyFont="1" applyFill="1" applyBorder="1" applyAlignment="1" applyProtection="1">
      <alignment vertical="center" shrinkToFit="1"/>
    </xf>
    <xf numFmtId="164" fontId="90" fillId="65" borderId="18" xfId="80" applyNumberFormat="1" applyFont="1" applyFill="1" applyBorder="1" applyAlignment="1" applyProtection="1">
      <alignment vertical="center" shrinkToFit="1"/>
    </xf>
    <xf numFmtId="164" fontId="90" fillId="65" borderId="16" xfId="80" applyNumberFormat="1" applyFont="1" applyFill="1" applyBorder="1" applyAlignment="1" applyProtection="1">
      <alignment vertical="center" shrinkToFit="1"/>
    </xf>
    <xf numFmtId="0" fontId="87" fillId="0" borderId="25" xfId="0" applyFont="1" applyBorder="1" applyAlignment="1">
      <alignment horizontal="left" vertical="center"/>
    </xf>
    <xf numFmtId="0" fontId="87" fillId="0" borderId="39" xfId="0" applyFont="1" applyBorder="1" applyAlignment="1" applyProtection="1">
      <alignment horizontal="left" vertical="center"/>
      <protection locked="0"/>
    </xf>
    <xf numFmtId="0" fontId="87" fillId="0" borderId="39" xfId="0" applyFont="1" applyBorder="1" applyAlignment="1">
      <alignment horizontal="left" vertical="center" wrapText="1" indent="1"/>
    </xf>
    <xf numFmtId="164" fontId="88" fillId="64" borderId="25" xfId="80" applyNumberFormat="1" applyFont="1" applyFill="1" applyBorder="1" applyAlignment="1" applyProtection="1">
      <alignment vertical="center" shrinkToFit="1"/>
    </xf>
    <xf numFmtId="164" fontId="88" fillId="64" borderId="21" xfId="80" applyNumberFormat="1" applyFont="1" applyFill="1" applyBorder="1" applyAlignment="1" applyProtection="1">
      <alignment vertical="center" shrinkToFit="1"/>
    </xf>
    <xf numFmtId="164" fontId="88" fillId="64" borderId="19" xfId="80" applyNumberFormat="1" applyFont="1" applyFill="1" applyBorder="1" applyAlignment="1" applyProtection="1">
      <alignment vertical="center" shrinkToFit="1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81" fillId="0" borderId="38" xfId="0" applyFont="1" applyBorder="1" applyAlignment="1" applyProtection="1">
      <alignment horizontal="center" vertical="center" wrapText="1"/>
      <protection locked="0"/>
    </xf>
    <xf numFmtId="0" fontId="84" fillId="0" borderId="27" xfId="0" applyFont="1" applyBorder="1" applyAlignment="1">
      <alignment horizontal="left" vertical="center" wrapText="1" indent="4"/>
    </xf>
    <xf numFmtId="0" fontId="91" fillId="0" borderId="23" xfId="0" applyFont="1" applyBorder="1" applyAlignment="1">
      <alignment horizontal="left" vertical="center" wrapText="1"/>
    </xf>
  </cellXfs>
  <cellStyles count="106">
    <cellStyle name="20% - akcent 1 2" xfId="1"/>
    <cellStyle name="20% - akcent 1 3" xfId="2"/>
    <cellStyle name="20% - akcent 2 2" xfId="3"/>
    <cellStyle name="20% - akcent 2 3" xfId="4"/>
    <cellStyle name="20% - akcent 3 2" xfId="5"/>
    <cellStyle name="20% - akcent 3 3" xfId="6"/>
    <cellStyle name="20% - akcent 4 2" xfId="7"/>
    <cellStyle name="20% - akcent 4 3" xfId="8"/>
    <cellStyle name="20% - akcent 5 2" xfId="9"/>
    <cellStyle name="20% - akcent 5 3" xfId="10"/>
    <cellStyle name="20% - akcent 6 2" xfId="11"/>
    <cellStyle name="20% - akcent 6 3" xfId="12"/>
    <cellStyle name="40% - akcent 1 2" xfId="13"/>
    <cellStyle name="40% - akcent 1 3" xfId="14"/>
    <cellStyle name="40% - akcent 2 2" xfId="15"/>
    <cellStyle name="40% - akcent 2 3" xfId="16"/>
    <cellStyle name="40% - akcent 3 2" xfId="17"/>
    <cellStyle name="40% - akcent 3 3" xfId="18"/>
    <cellStyle name="40% - akcent 4 2" xfId="19"/>
    <cellStyle name="40% - akcent 4 3" xfId="20"/>
    <cellStyle name="40% - akcent 5 2" xfId="21"/>
    <cellStyle name="40% - akcent 5 3" xfId="22"/>
    <cellStyle name="40% - akcent 6 2" xfId="23"/>
    <cellStyle name="40% - akcent 6 3" xfId="24"/>
    <cellStyle name="60% - akcent 1 2" xfId="25"/>
    <cellStyle name="60% - akcent 1 3" xfId="26"/>
    <cellStyle name="60% - akcent 2 2" xfId="27"/>
    <cellStyle name="60% - akcent 2 3" xfId="28"/>
    <cellStyle name="60% - akcent 3 2" xfId="29"/>
    <cellStyle name="60% - akcent 3 3" xfId="30"/>
    <cellStyle name="60% - akcent 4 2" xfId="31"/>
    <cellStyle name="60% - akcent 4 3" xfId="32"/>
    <cellStyle name="60% - akcent 5 2" xfId="33"/>
    <cellStyle name="60% - akcent 5 3" xfId="34"/>
    <cellStyle name="60% - akcent 6 2" xfId="35"/>
    <cellStyle name="60% - akcent 6 3" xfId="36"/>
    <cellStyle name="Akcent 1 2" xfId="37"/>
    <cellStyle name="Akcent 1 3" xfId="38"/>
    <cellStyle name="Akcent 2 2" xfId="39"/>
    <cellStyle name="Akcent 2 3" xfId="40"/>
    <cellStyle name="Akcent 3 2" xfId="41"/>
    <cellStyle name="Akcent 3 3" xfId="42"/>
    <cellStyle name="Akcent 4 2" xfId="43"/>
    <cellStyle name="Akcent 4 3" xfId="44"/>
    <cellStyle name="Akcent 5 2" xfId="45"/>
    <cellStyle name="Akcent 5 3" xfId="46"/>
    <cellStyle name="Akcent 6 2" xfId="47"/>
    <cellStyle name="Akcent 6 3" xfId="48"/>
    <cellStyle name="Dane wejściowe 2" xfId="49"/>
    <cellStyle name="Dane wejściowe 3" xfId="50"/>
    <cellStyle name="Dane wyjściowe 2" xfId="51"/>
    <cellStyle name="Dane wyjściowe 3" xfId="52"/>
    <cellStyle name="Dobre 2" xfId="53"/>
    <cellStyle name="Dobre 3" xfId="54"/>
    <cellStyle name="Komórka połączona 2" xfId="55"/>
    <cellStyle name="Komórka połączona 3" xfId="56"/>
    <cellStyle name="Komórka zaznaczona 2" xfId="57"/>
    <cellStyle name="Komórka zaznaczona 3" xfId="58"/>
    <cellStyle name="Nagłówek 1 2" xfId="59"/>
    <cellStyle name="Nagłówek 1 3" xfId="60"/>
    <cellStyle name="Nagłówek 2 2" xfId="61"/>
    <cellStyle name="Nagłówek 2 3" xfId="62"/>
    <cellStyle name="Nagłówek 3 2" xfId="63"/>
    <cellStyle name="Nagłówek 3 3" xfId="64"/>
    <cellStyle name="Nagłówek 4 2" xfId="65"/>
    <cellStyle name="Nagłówek 4 3" xfId="66"/>
    <cellStyle name="Neutralne 2" xfId="67"/>
    <cellStyle name="Neutralne 3" xfId="68"/>
    <cellStyle name="Normalny" xfId="0" builtinId="0"/>
    <cellStyle name="Normalny 2" xfId="69"/>
    <cellStyle name="Normalny 2 2" xfId="70"/>
    <cellStyle name="Normalny 2 3" xfId="71"/>
    <cellStyle name="Normalny 2 4" xfId="72"/>
    <cellStyle name="Normalny 2 5" xfId="73"/>
    <cellStyle name="Normalny 2 6" xfId="74"/>
    <cellStyle name="Normalny 2 7" xfId="75"/>
    <cellStyle name="Normalny 3" xfId="76"/>
    <cellStyle name="Normalny 4" xfId="77"/>
    <cellStyle name="Normalny 5" xfId="78"/>
    <cellStyle name="Normalny 6" xfId="79"/>
    <cellStyle name="Normalny 6 2" xfId="80"/>
    <cellStyle name="Normalny 7" xfId="81"/>
    <cellStyle name="Normalny 7 2" xfId="82"/>
    <cellStyle name="Normalny 8" xfId="83"/>
    <cellStyle name="Obliczenia 2" xfId="84"/>
    <cellStyle name="Obliczenia 3" xfId="85"/>
    <cellStyle name="Procentowy" xfId="86" builtinId="5"/>
    <cellStyle name="Procentowy 2" xfId="87"/>
    <cellStyle name="Procentowy 2 2" xfId="88"/>
    <cellStyle name="Procentowy 2 3" xfId="89"/>
    <cellStyle name="Procentowy 3" xfId="90"/>
    <cellStyle name="Procentowy 3 2" xfId="91"/>
    <cellStyle name="Procentowy 4" xfId="92"/>
    <cellStyle name="Procentowy 5" xfId="93"/>
    <cellStyle name="Suma 2" xfId="94"/>
    <cellStyle name="Suma 3" xfId="95"/>
    <cellStyle name="Tekst objaśnienia 2" xfId="96"/>
    <cellStyle name="Tekst objaśnienia 3" xfId="97"/>
    <cellStyle name="Tekst ostrzeżenia 2" xfId="98"/>
    <cellStyle name="Tekst ostrzeżenia 3" xfId="99"/>
    <cellStyle name="Tytuł" xfId="100" builtinId="15" customBuiltin="1"/>
    <cellStyle name="Tytuł 2" xfId="101"/>
    <cellStyle name="Uwaga 2" xfId="102"/>
    <cellStyle name="Uwaga 3" xfId="103"/>
    <cellStyle name="Złe 2" xfId="104"/>
    <cellStyle name="Złe 3" xfId="105"/>
  </cellStyles>
  <dxfs count="22">
    <dxf>
      <font>
        <b val="0"/>
        <i val="0"/>
        <color rgb="FFFF0000"/>
      </font>
      <fill>
        <patternFill>
          <bgColor rgb="FFFFE1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66A44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E101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</font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rgb="FFF66A44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E101"/>
        </patternFill>
      </fill>
    </dxf>
    <dxf>
      <font>
        <b val="0"/>
        <i val="0"/>
        <color rgb="FFFF0000"/>
      </font>
      <fill>
        <patternFill>
          <bgColor rgb="FFFFE101"/>
        </patternFill>
      </fill>
    </dxf>
    <dxf>
      <fill>
        <patternFill>
          <bgColor indexed="13"/>
        </patternFill>
      </fill>
    </dxf>
    <dxf>
      <fill>
        <patternFill>
          <bgColor indexed="51"/>
        </patternFill>
      </fill>
    </dxf>
    <dxf>
      <font>
        <b/>
        <i val="0"/>
      </font>
      <fill>
        <patternFill>
          <bgColor indexed="10"/>
        </patternFill>
      </fill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Zał.1_WPF_bazowy!$C$18</c:f>
              <c:strCache>
                <c:ptCount val="1"/>
                <c:pt idx="0">
                  <c:v>  Dochody majątkowe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Zał.1_WPF_bazowy!$I$18:$Q$18</c:f>
              <c:numCache>
                <c:formatCode>#,##0.00_ ;[Red]\-#,##0.00\ </c:formatCode>
                <c:ptCount val="9"/>
                <c:pt idx="0">
                  <c:v>2016839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Zał.1_WPF_bazowy!$C$19</c:f>
              <c:strCache>
                <c:ptCount val="1"/>
                <c:pt idx="0">
                  <c:v>  ze sprzedaży majątku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Zał.1_WPF_bazowy!$I$19:$Q$19</c:f>
              <c:numCache>
                <c:formatCode>#,##0.00_ ;[Red]\-#,##0.00\ </c:formatCode>
                <c:ptCount val="9"/>
                <c:pt idx="0">
                  <c:v>190000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66713856"/>
        <c:axId val="67772416"/>
      </c:lineChart>
      <c:catAx>
        <c:axId val="6671385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7772416"/>
        <c:crosses val="autoZero"/>
        <c:auto val="1"/>
        <c:lblAlgn val="ctr"/>
        <c:lblOffset val="100"/>
      </c:catAx>
      <c:valAx>
        <c:axId val="67772416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671385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Zał.1_WPF_bazowy!$C$59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Zał.1_WPF_bazowy!$I$59:$Q$59</c:f>
              <c:numCache>
                <c:formatCode>0.00%;[Red]\-0.00%</c:formatCode>
                <c:ptCount val="9"/>
                <c:pt idx="0">
                  <c:v>8.2299999999999998E-2</c:v>
                </c:pt>
                <c:pt idx="1">
                  <c:v>7.5999999999999998E-2</c:v>
                </c:pt>
                <c:pt idx="2">
                  <c:v>7.0199999999999999E-2</c:v>
                </c:pt>
                <c:pt idx="3">
                  <c:v>8.3699999999999997E-2</c:v>
                </c:pt>
                <c:pt idx="4">
                  <c:v>9.8199999999999996E-2</c:v>
                </c:pt>
                <c:pt idx="5">
                  <c:v>9.5000000000000001E-2</c:v>
                </c:pt>
                <c:pt idx="6">
                  <c:v>8.8499999999999995E-2</c:v>
                </c:pt>
                <c:pt idx="7">
                  <c:v>8.9700000000000002E-2</c:v>
                </c:pt>
                <c:pt idx="8">
                  <c:v>9.1700000000000004E-2</c:v>
                </c:pt>
              </c:numCache>
            </c:numRef>
          </c:val>
        </c:ser>
        <c:ser>
          <c:idx val="1"/>
          <c:order val="1"/>
          <c:tx>
            <c:strRef>
              <c:f>Zał.1_WPF_bazowy!$C$57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Zał.1_WPF_bazowy!$I$57:$Q$57</c:f>
              <c:numCache>
                <c:formatCode>0.00%;[Red]\-0.00%</c:formatCode>
                <c:ptCount val="9"/>
                <c:pt idx="0">
                  <c:v>5.2999999999999999E-2</c:v>
                </c:pt>
                <c:pt idx="1">
                  <c:v>7.4700000000000003E-2</c:v>
                </c:pt>
                <c:pt idx="2">
                  <c:v>6.9500000000000006E-2</c:v>
                </c:pt>
                <c:pt idx="3">
                  <c:v>6.0400000000000002E-2</c:v>
                </c:pt>
                <c:pt idx="4">
                  <c:v>4.6800000000000001E-2</c:v>
                </c:pt>
                <c:pt idx="5">
                  <c:v>3.8899999999999997E-2</c:v>
                </c:pt>
                <c:pt idx="6">
                  <c:v>3.1E-2</c:v>
                </c:pt>
                <c:pt idx="7">
                  <c:v>1.2699999999999999E-2</c:v>
                </c:pt>
                <c:pt idx="8">
                  <c:v>4.5999999999999999E-3</c:v>
                </c:pt>
              </c:numCache>
            </c:numRef>
          </c:val>
        </c:ser>
        <c:marker val="1"/>
        <c:axId val="76397184"/>
        <c:axId val="76403072"/>
      </c:lineChart>
      <c:catAx>
        <c:axId val="7639718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403072"/>
        <c:crosses val="autoZero"/>
        <c:auto val="1"/>
        <c:lblAlgn val="ctr"/>
        <c:lblOffset val="100"/>
      </c:catAx>
      <c:valAx>
        <c:axId val="7640307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39718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Zał.1_WPF_bazowy!$C$60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Zał.1_WPF_bazowy!$I$60:$Q$60</c:f>
              <c:numCache>
                <c:formatCode>0.00%;[Red]\-0.00%</c:formatCode>
                <c:ptCount val="9"/>
                <c:pt idx="0">
                  <c:v>9.9099999999999994E-2</c:v>
                </c:pt>
                <c:pt idx="1">
                  <c:v>9.2700000000000005E-2</c:v>
                </c:pt>
                <c:pt idx="2">
                  <c:v>8.6900000000000005E-2</c:v>
                </c:pt>
                <c:pt idx="3">
                  <c:v>8.3699999999999997E-2</c:v>
                </c:pt>
                <c:pt idx="4">
                  <c:v>9.8199999999999996E-2</c:v>
                </c:pt>
                <c:pt idx="5">
                  <c:v>9.5000000000000001E-2</c:v>
                </c:pt>
                <c:pt idx="6">
                  <c:v>8.8499999999999995E-2</c:v>
                </c:pt>
                <c:pt idx="7">
                  <c:v>8.9700000000000002E-2</c:v>
                </c:pt>
                <c:pt idx="8">
                  <c:v>9.1700000000000004E-2</c:v>
                </c:pt>
              </c:numCache>
            </c:numRef>
          </c:val>
        </c:ser>
        <c:ser>
          <c:idx val="1"/>
          <c:order val="1"/>
          <c:tx>
            <c:strRef>
              <c:f>Zał.1_WPF_bazowy!$C$54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Zał.1_WPF_bazowy!$I$54:$Q$54</c:f>
              <c:numCache>
                <c:formatCode>0.00%;[Red]\-0.00%</c:formatCode>
                <c:ptCount val="9"/>
                <c:pt idx="0">
                  <c:v>5.57E-2</c:v>
                </c:pt>
                <c:pt idx="1">
                  <c:v>7.7600000000000002E-2</c:v>
                </c:pt>
                <c:pt idx="2">
                  <c:v>7.1800000000000003E-2</c:v>
                </c:pt>
                <c:pt idx="3">
                  <c:v>6.2100000000000002E-2</c:v>
                </c:pt>
                <c:pt idx="4">
                  <c:v>4.8000000000000001E-2</c:v>
                </c:pt>
                <c:pt idx="5">
                  <c:v>3.9600000000000003E-2</c:v>
                </c:pt>
                <c:pt idx="6">
                  <c:v>3.1199999999999999E-2</c:v>
                </c:pt>
                <c:pt idx="7">
                  <c:v>1.2699999999999999E-2</c:v>
                </c:pt>
                <c:pt idx="8">
                  <c:v>4.5999999999999999E-3</c:v>
                </c:pt>
              </c:numCache>
            </c:numRef>
          </c:val>
        </c:ser>
        <c:marker val="1"/>
        <c:axId val="76296576"/>
        <c:axId val="76298112"/>
      </c:lineChart>
      <c:catAx>
        <c:axId val="7629657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98112"/>
        <c:crosses val="autoZero"/>
        <c:auto val="1"/>
        <c:lblAlgn val="ctr"/>
        <c:lblOffset val="100"/>
      </c:catAx>
      <c:valAx>
        <c:axId val="76298112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96576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Zał.1_WPF_bazowy!$C$60</c:f>
              <c:strCache>
                <c:ptCount val="1"/>
                <c:pt idx="0">
                  <c:v>Dopuszczalny wskaźnik spłaty zobowiązań z art. 243 ustawy, po uwzględnieniu ustawowych wyłączeń (wykonanie) 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Zał.1_WPF_bazowy!$I$60:$Q$60</c:f>
              <c:numCache>
                <c:formatCode>0.00%;[Red]\-0.00%</c:formatCode>
                <c:ptCount val="9"/>
                <c:pt idx="0">
                  <c:v>9.9099999999999994E-2</c:v>
                </c:pt>
                <c:pt idx="1">
                  <c:v>9.2700000000000005E-2</c:v>
                </c:pt>
                <c:pt idx="2">
                  <c:v>8.6900000000000005E-2</c:v>
                </c:pt>
                <c:pt idx="3">
                  <c:v>8.3699999999999997E-2</c:v>
                </c:pt>
                <c:pt idx="4">
                  <c:v>9.8199999999999996E-2</c:v>
                </c:pt>
                <c:pt idx="5">
                  <c:v>9.5000000000000001E-2</c:v>
                </c:pt>
                <c:pt idx="6">
                  <c:v>8.8499999999999995E-2</c:v>
                </c:pt>
                <c:pt idx="7">
                  <c:v>8.9700000000000002E-2</c:v>
                </c:pt>
                <c:pt idx="8">
                  <c:v>9.1700000000000004E-2</c:v>
                </c:pt>
              </c:numCache>
            </c:numRef>
          </c:val>
        </c:ser>
        <c:ser>
          <c:idx val="1"/>
          <c:order val="1"/>
          <c:tx>
            <c:strRef>
              <c:f>Zał.1_WPF_bazowy!$C$57</c:f>
              <c:strCache>
                <c:ptCount val="1"/>
                <c:pt idx="0">
                  <c:v>(R+O) / D (z wyłączeniami i zobowiązaniami związków)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Zał.1_WPF_bazowy!$I$57:$Q$57</c:f>
              <c:numCache>
                <c:formatCode>0.00%;[Red]\-0.00%</c:formatCode>
                <c:ptCount val="9"/>
                <c:pt idx="0">
                  <c:v>5.2999999999999999E-2</c:v>
                </c:pt>
                <c:pt idx="1">
                  <c:v>7.4700000000000003E-2</c:v>
                </c:pt>
                <c:pt idx="2">
                  <c:v>6.9500000000000006E-2</c:v>
                </c:pt>
                <c:pt idx="3">
                  <c:v>6.0400000000000002E-2</c:v>
                </c:pt>
                <c:pt idx="4">
                  <c:v>4.6800000000000001E-2</c:v>
                </c:pt>
                <c:pt idx="5">
                  <c:v>3.8899999999999997E-2</c:v>
                </c:pt>
                <c:pt idx="6">
                  <c:v>3.1E-2</c:v>
                </c:pt>
                <c:pt idx="7">
                  <c:v>1.2699999999999999E-2</c:v>
                </c:pt>
                <c:pt idx="8">
                  <c:v>4.5999999999999999E-3</c:v>
                </c:pt>
              </c:numCache>
            </c:numRef>
          </c:val>
        </c:ser>
        <c:marker val="1"/>
        <c:axId val="76342784"/>
        <c:axId val="76344320"/>
      </c:lineChart>
      <c:catAx>
        <c:axId val="7634278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344320"/>
        <c:crosses val="autoZero"/>
        <c:auto val="1"/>
        <c:lblAlgn val="ctr"/>
        <c:lblOffset val="100"/>
      </c:catAx>
      <c:valAx>
        <c:axId val="76344320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342784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Zał.1_WPF_bazowy!$C$11</c:f>
              <c:strCache>
                <c:ptCount val="1"/>
                <c:pt idx="0">
                  <c:v> Dochody bieżące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Zał.1_WPF_bazowy!$I$11:$Q$11</c:f>
              <c:numCache>
                <c:formatCode>#,##0.00_ ;[Red]\-#,##0.00\ </c:formatCode>
                <c:ptCount val="9"/>
                <c:pt idx="0">
                  <c:v>7815009.8399999999</c:v>
                </c:pt>
                <c:pt idx="1">
                  <c:v>7895743</c:v>
                </c:pt>
                <c:pt idx="2">
                  <c:v>7988465</c:v>
                </c:pt>
                <c:pt idx="3">
                  <c:v>8053018</c:v>
                </c:pt>
                <c:pt idx="4">
                  <c:v>8194608</c:v>
                </c:pt>
                <c:pt idx="5">
                  <c:v>8343446</c:v>
                </c:pt>
                <c:pt idx="6">
                  <c:v>8499749</c:v>
                </c:pt>
                <c:pt idx="7">
                  <c:v>8663741</c:v>
                </c:pt>
                <c:pt idx="8">
                  <c:v>8835653</c:v>
                </c:pt>
              </c:numCache>
            </c:numRef>
          </c:val>
        </c:ser>
        <c:ser>
          <c:idx val="1"/>
          <c:order val="1"/>
          <c:tx>
            <c:strRef>
              <c:f>Zał.1_WPF_bazowy!$C$18</c:f>
              <c:strCache>
                <c:ptCount val="1"/>
                <c:pt idx="0">
                  <c:v>  Dochody majątkowe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Zał.1_WPF_bazowy!$I$18:$Q$18</c:f>
              <c:numCache>
                <c:formatCode>#,##0.00_ ;[Red]\-#,##0.00\ </c:formatCode>
                <c:ptCount val="9"/>
                <c:pt idx="0">
                  <c:v>2016839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overlap val="100"/>
        <c:axId val="67813760"/>
        <c:axId val="67815296"/>
      </c:barChart>
      <c:catAx>
        <c:axId val="67813760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7815296"/>
        <c:crosses val="autoZero"/>
        <c:auto val="1"/>
        <c:lblAlgn val="ctr"/>
        <c:lblOffset val="100"/>
      </c:catAx>
      <c:valAx>
        <c:axId val="67815296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6781376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0"/>
          <c:order val="0"/>
          <c:tx>
            <c:strRef>
              <c:f>Zał.1_WPF_bazowy!$C$22</c:f>
              <c:strCache>
                <c:ptCount val="1"/>
                <c:pt idx="0">
                  <c:v> Wydatki bieżące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Zał.1_WPF_bazowy!$I$22:$Q$22</c:f>
              <c:numCache>
                <c:formatCode>#,##0.00_ ;[Red]\-#,##0.00\ </c:formatCode>
                <c:ptCount val="9"/>
                <c:pt idx="0">
                  <c:v>7565258.8399999999</c:v>
                </c:pt>
                <c:pt idx="1">
                  <c:v>7124924</c:v>
                </c:pt>
                <c:pt idx="2">
                  <c:v>7118393</c:v>
                </c:pt>
                <c:pt idx="3">
                  <c:v>7344101</c:v>
                </c:pt>
                <c:pt idx="4">
                  <c:v>7473702</c:v>
                </c:pt>
                <c:pt idx="5">
                  <c:v>7595956</c:v>
                </c:pt>
                <c:pt idx="6">
                  <c:v>7722155</c:v>
                </c:pt>
                <c:pt idx="7">
                  <c:v>7850358</c:v>
                </c:pt>
                <c:pt idx="8">
                  <c:v>7982625</c:v>
                </c:pt>
              </c:numCache>
            </c:numRef>
          </c:val>
        </c:ser>
        <c:ser>
          <c:idx val="1"/>
          <c:order val="1"/>
          <c:tx>
            <c:strRef>
              <c:f>Zał.1_WPF_bazowy!$C$30</c:f>
              <c:strCache>
                <c:ptCount val="1"/>
                <c:pt idx="0">
                  <c:v> Wydatki majątkowe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Zał.1_WPF_bazowy!$I$30:$Q$30</c:f>
              <c:numCache>
                <c:formatCode>#,##0.00_ ;[Red]\-#,##0.00\ </c:formatCode>
                <c:ptCount val="9"/>
                <c:pt idx="0">
                  <c:v>2923803</c:v>
                </c:pt>
                <c:pt idx="1">
                  <c:v>233127</c:v>
                </c:pt>
                <c:pt idx="2">
                  <c:v>351615</c:v>
                </c:pt>
                <c:pt idx="3">
                  <c:v>258917</c:v>
                </c:pt>
                <c:pt idx="4">
                  <c:v>370906</c:v>
                </c:pt>
                <c:pt idx="5">
                  <c:v>447490</c:v>
                </c:pt>
                <c:pt idx="6">
                  <c:v>527594</c:v>
                </c:pt>
                <c:pt idx="7">
                  <c:v>713383</c:v>
                </c:pt>
                <c:pt idx="8">
                  <c:v>814694.85</c:v>
                </c:pt>
              </c:numCache>
            </c:numRef>
          </c:val>
        </c:ser>
        <c:overlap val="100"/>
        <c:axId val="76032256"/>
        <c:axId val="76042240"/>
      </c:barChart>
      <c:catAx>
        <c:axId val="7603225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042240"/>
        <c:crosses val="autoZero"/>
        <c:auto val="1"/>
        <c:lblAlgn val="ctr"/>
        <c:lblOffset val="100"/>
      </c:catAx>
      <c:valAx>
        <c:axId val="7604224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03225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Zał.1_WPF_bazowy!$C$66</c:f>
              <c:strCache>
                <c:ptCount val="1"/>
                <c:pt idx="0">
                  <c:v> Wydatki bieżące na wynagrodzenia i składki od nich naliczane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Zał.1_WPF_bazowy!$I$66:$Q$66</c:f>
              <c:numCache>
                <c:formatCode>#,##0.00_ ;[Red]\-#,##0.00\ </c:formatCode>
                <c:ptCount val="9"/>
                <c:pt idx="0">
                  <c:v>3315301.8</c:v>
                </c:pt>
                <c:pt idx="1">
                  <c:v>3352879</c:v>
                </c:pt>
                <c:pt idx="2">
                  <c:v>3419937</c:v>
                </c:pt>
                <c:pt idx="3">
                  <c:v>3488336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Zał.1_WPF_bazowy!$C$67</c:f>
              <c:strCache>
                <c:ptCount val="1"/>
                <c:pt idx="0">
                  <c:v> Wydatki związane z funkcjonowaniem organów jednostki samorządu terytorialnego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Zał.1_WPF_bazowy!$I$67:$Q$67</c:f>
              <c:numCache>
                <c:formatCode>#,##0.00_ ;[Red]\-#,##0.00\ </c:formatCode>
                <c:ptCount val="9"/>
                <c:pt idx="0">
                  <c:v>1154984</c:v>
                </c:pt>
                <c:pt idx="1">
                  <c:v>1164603</c:v>
                </c:pt>
                <c:pt idx="2">
                  <c:v>1166149</c:v>
                </c:pt>
                <c:pt idx="3">
                  <c:v>1177811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76091776"/>
        <c:axId val="76093312"/>
      </c:lineChart>
      <c:catAx>
        <c:axId val="7609177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093312"/>
        <c:crosses val="autoZero"/>
        <c:auto val="1"/>
        <c:lblAlgn val="ctr"/>
        <c:lblOffset val="100"/>
      </c:catAx>
      <c:valAx>
        <c:axId val="7609331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09177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1"/>
          <c:order val="0"/>
          <c:tx>
            <c:strRef>
              <c:f>Zał.1_WPF_bazowy!$C$69</c:f>
              <c:strCache>
                <c:ptCount val="1"/>
                <c:pt idx="0">
                  <c:v>   Wydatki bieżące na przedsięwzięcia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Zał.1_WPF_bazowy!$I$69:$Q$69</c:f>
              <c:numCache>
                <c:formatCode>#,##0.00_ ;[Red]\-#,##0.00\ </c:formatCode>
                <c:ptCount val="9"/>
                <c:pt idx="0">
                  <c:v>101285.8</c:v>
                </c:pt>
                <c:pt idx="1">
                  <c:v>70939.199999999997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0"/>
          <c:order val="1"/>
          <c:tx>
            <c:strRef>
              <c:f>Zał.1_WPF_bazowy!$C$70</c:f>
              <c:strCache>
                <c:ptCount val="1"/>
                <c:pt idx="0">
                  <c:v>   Wydatki majątkowe na przedsięwzięcia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Zał.1_WPF_bazowy!$I$70:$Q$70</c:f>
              <c:numCache>
                <c:formatCode>#,##0.00_ ;[Red]\-#,##0.00\ </c:formatCode>
                <c:ptCount val="9"/>
                <c:pt idx="0">
                  <c:v>1369219.39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76114176"/>
        <c:axId val="76136448"/>
      </c:lineChart>
      <c:catAx>
        <c:axId val="7611417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136448"/>
        <c:crosses val="autoZero"/>
        <c:auto val="1"/>
        <c:lblAlgn val="ctr"/>
        <c:lblOffset val="100"/>
      </c:catAx>
      <c:valAx>
        <c:axId val="76136448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11417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stacked"/>
        <c:ser>
          <c:idx val="2"/>
          <c:order val="1"/>
          <c:tx>
            <c:strRef>
              <c:f>Zał.1_WPF_bazowy!$C$42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Zał.1_WPF_bazowy!$I$42:$Q$42</c:f>
              <c:numCache>
                <c:formatCode>#,##0.00_ ;[Red]\-#,##0.00\ </c:formatCode>
                <c:ptCount val="9"/>
                <c:pt idx="0">
                  <c:v>472621</c:v>
                </c:pt>
                <c:pt idx="1">
                  <c:v>537692</c:v>
                </c:pt>
                <c:pt idx="2">
                  <c:v>518457</c:v>
                </c:pt>
                <c:pt idx="3">
                  <c:v>450000</c:v>
                </c:pt>
                <c:pt idx="4">
                  <c:v>350000</c:v>
                </c:pt>
                <c:pt idx="5">
                  <c:v>300000</c:v>
                </c:pt>
                <c:pt idx="6">
                  <c:v>250000</c:v>
                </c:pt>
                <c:pt idx="7">
                  <c:v>100000</c:v>
                </c:pt>
                <c:pt idx="8">
                  <c:v>38333.15</c:v>
                </c:pt>
              </c:numCache>
            </c:numRef>
          </c:val>
        </c:ser>
        <c:ser>
          <c:idx val="0"/>
          <c:order val="2"/>
          <c:tx>
            <c:strRef>
              <c:f>Zał.1_WPF_bazowy!$C$30</c:f>
              <c:strCache>
                <c:ptCount val="1"/>
                <c:pt idx="0">
                  <c:v> Wydatki majątkowe</c:v>
                </c:pt>
              </c:strCache>
            </c:strRef>
          </c:tx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Zał.1_WPF_bazowy!$I$30:$Q$30</c:f>
              <c:numCache>
                <c:formatCode>#,##0.00_ ;[Red]\-#,##0.00\ </c:formatCode>
                <c:ptCount val="9"/>
                <c:pt idx="0">
                  <c:v>2923803</c:v>
                </c:pt>
                <c:pt idx="1">
                  <c:v>233127</c:v>
                </c:pt>
                <c:pt idx="2">
                  <c:v>351615</c:v>
                </c:pt>
                <c:pt idx="3">
                  <c:v>258917</c:v>
                </c:pt>
                <c:pt idx="4">
                  <c:v>370906</c:v>
                </c:pt>
                <c:pt idx="5">
                  <c:v>447490</c:v>
                </c:pt>
                <c:pt idx="6">
                  <c:v>527594</c:v>
                </c:pt>
                <c:pt idx="7">
                  <c:v>713383</c:v>
                </c:pt>
                <c:pt idx="8">
                  <c:v>814694.85</c:v>
                </c:pt>
              </c:numCache>
            </c:numRef>
          </c:val>
        </c:ser>
        <c:overlap val="100"/>
        <c:axId val="76240384"/>
        <c:axId val="76241920"/>
      </c:barChart>
      <c:lineChart>
        <c:grouping val="standard"/>
        <c:ser>
          <c:idx val="1"/>
          <c:order val="0"/>
          <c:tx>
            <c:strRef>
              <c:f>Zał.1_WPF_bazowy!$C$51</c:f>
              <c:strCache>
                <c:ptCount val="1"/>
                <c:pt idx="0">
                  <c:v> Różnica między dochodami bieżącymi a  wydatkami bieżącymi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Zał.1_WPF_bazowy!$I$51:$Q$51</c:f>
              <c:numCache>
                <c:formatCode>#,##0.00_ ;[Red]\-#,##0.00\ </c:formatCode>
                <c:ptCount val="9"/>
                <c:pt idx="0">
                  <c:v>249751</c:v>
                </c:pt>
                <c:pt idx="1">
                  <c:v>770819</c:v>
                </c:pt>
                <c:pt idx="2">
                  <c:v>870072</c:v>
                </c:pt>
                <c:pt idx="3">
                  <c:v>708917</c:v>
                </c:pt>
                <c:pt idx="4">
                  <c:v>720906</c:v>
                </c:pt>
                <c:pt idx="5">
                  <c:v>747490</c:v>
                </c:pt>
                <c:pt idx="6">
                  <c:v>777594</c:v>
                </c:pt>
                <c:pt idx="7">
                  <c:v>813383</c:v>
                </c:pt>
                <c:pt idx="8">
                  <c:v>853028</c:v>
                </c:pt>
              </c:numCache>
            </c:numRef>
          </c:val>
        </c:ser>
        <c:marker val="1"/>
        <c:axId val="76240384"/>
        <c:axId val="76241920"/>
      </c:lineChart>
      <c:catAx>
        <c:axId val="76240384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41920"/>
        <c:crosses val="autoZero"/>
        <c:auto val="1"/>
        <c:lblAlgn val="ctr"/>
        <c:lblOffset val="100"/>
      </c:catAx>
      <c:valAx>
        <c:axId val="76241920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40384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Zał.1_WPF_bazowy!$C$59</c:f>
              <c:strCache>
                <c:ptCount val="1"/>
                <c:pt idx="0">
                  <c:v>Dopuszczalny wskaźnik spłaty zobowiązań z art. 243 ustawy, po uwzględnieniu ustawowych wyłączeń (planistyczny) 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Zał.1_WPF_bazowy!$I$59:$Q$59</c:f>
              <c:numCache>
                <c:formatCode>0.00%;[Red]\-0.00%</c:formatCode>
                <c:ptCount val="9"/>
                <c:pt idx="0">
                  <c:v>8.2299999999999998E-2</c:v>
                </c:pt>
                <c:pt idx="1">
                  <c:v>7.5999999999999998E-2</c:v>
                </c:pt>
                <c:pt idx="2">
                  <c:v>7.0199999999999999E-2</c:v>
                </c:pt>
                <c:pt idx="3">
                  <c:v>8.3699999999999997E-2</c:v>
                </c:pt>
                <c:pt idx="4">
                  <c:v>9.8199999999999996E-2</c:v>
                </c:pt>
                <c:pt idx="5">
                  <c:v>9.5000000000000001E-2</c:v>
                </c:pt>
                <c:pt idx="6">
                  <c:v>8.8499999999999995E-2</c:v>
                </c:pt>
                <c:pt idx="7">
                  <c:v>8.9700000000000002E-2</c:v>
                </c:pt>
                <c:pt idx="8">
                  <c:v>9.1700000000000004E-2</c:v>
                </c:pt>
              </c:numCache>
            </c:numRef>
          </c:val>
        </c:ser>
        <c:ser>
          <c:idx val="1"/>
          <c:order val="1"/>
          <c:tx>
            <c:strRef>
              <c:f>Zał.1_WPF_bazowy!$C$54</c:f>
              <c:strCache>
                <c:ptCount val="1"/>
                <c:pt idx="0">
                  <c:v>(R+O) / D (bez wyłączeń)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Zał.1_WPF_bazowy!$I$54:$Q$54</c:f>
              <c:numCache>
                <c:formatCode>0.00%;[Red]\-0.00%</c:formatCode>
                <c:ptCount val="9"/>
                <c:pt idx="0">
                  <c:v>5.57E-2</c:v>
                </c:pt>
                <c:pt idx="1">
                  <c:v>7.7600000000000002E-2</c:v>
                </c:pt>
                <c:pt idx="2">
                  <c:v>7.1800000000000003E-2</c:v>
                </c:pt>
                <c:pt idx="3">
                  <c:v>6.2100000000000002E-2</c:v>
                </c:pt>
                <c:pt idx="4">
                  <c:v>4.8000000000000001E-2</c:v>
                </c:pt>
                <c:pt idx="5">
                  <c:v>3.9600000000000003E-2</c:v>
                </c:pt>
                <c:pt idx="6">
                  <c:v>3.1199999999999999E-2</c:v>
                </c:pt>
                <c:pt idx="7">
                  <c:v>1.2699999999999999E-2</c:v>
                </c:pt>
                <c:pt idx="8">
                  <c:v>4.5999999999999999E-3</c:v>
                </c:pt>
              </c:numCache>
            </c:numRef>
          </c:val>
        </c:ser>
        <c:marker val="1"/>
        <c:axId val="76267520"/>
        <c:axId val="76269056"/>
      </c:lineChart>
      <c:catAx>
        <c:axId val="76267520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69056"/>
        <c:crosses val="autoZero"/>
        <c:auto val="1"/>
        <c:lblAlgn val="ctr"/>
        <c:lblOffset val="100"/>
      </c:catAx>
      <c:valAx>
        <c:axId val="76269056"/>
        <c:scaling>
          <c:orientation val="minMax"/>
        </c:scaling>
        <c:axPos val="l"/>
        <c:majorGridlines/>
        <c:numFmt formatCode="0%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267520"/>
        <c:crosses val="autoZero"/>
        <c:crossBetween val="between"/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2"/>
          <c:order val="0"/>
          <c:tx>
            <c:strRef>
              <c:f>Zał.1_WPF_bazowy!$C$48</c:f>
              <c:strCache>
                <c:ptCount val="1"/>
                <c:pt idx="0">
                  <c:v>Kwota długu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Zał.1_WPF_bazowy!$I$48:$Q$48</c:f>
              <c:numCache>
                <c:formatCode>#,##0.00_ ;[Red]\-#,##0.00\ </c:formatCode>
                <c:ptCount val="9"/>
                <c:pt idx="0">
                  <c:v>2544482.15</c:v>
                </c:pt>
                <c:pt idx="1">
                  <c:v>2006790.15</c:v>
                </c:pt>
                <c:pt idx="2">
                  <c:v>1488333.15</c:v>
                </c:pt>
                <c:pt idx="3">
                  <c:v>1038333.15</c:v>
                </c:pt>
                <c:pt idx="4">
                  <c:v>688333.15</c:v>
                </c:pt>
                <c:pt idx="5">
                  <c:v>388333.15</c:v>
                </c:pt>
                <c:pt idx="6">
                  <c:v>138333.15</c:v>
                </c:pt>
                <c:pt idx="7">
                  <c:v>38333.15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Zał.1_WPF_bazowy!$C$42</c:f>
              <c:strCache>
                <c:ptCount val="1"/>
                <c:pt idx="0">
                  <c:v> Spłaty rat kapitałowych kredytów i pożyczek oraz wykup papierów wartościowych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Zał.1_WPF_bazowy!$I$42:$Q$42</c:f>
              <c:numCache>
                <c:formatCode>#,##0.00_ ;[Red]\-#,##0.00\ </c:formatCode>
                <c:ptCount val="9"/>
                <c:pt idx="0">
                  <c:v>472621</c:v>
                </c:pt>
                <c:pt idx="1">
                  <c:v>537692</c:v>
                </c:pt>
                <c:pt idx="2">
                  <c:v>518457</c:v>
                </c:pt>
                <c:pt idx="3">
                  <c:v>450000</c:v>
                </c:pt>
                <c:pt idx="4">
                  <c:v>350000</c:v>
                </c:pt>
                <c:pt idx="5">
                  <c:v>300000</c:v>
                </c:pt>
                <c:pt idx="6">
                  <c:v>250000</c:v>
                </c:pt>
                <c:pt idx="7">
                  <c:v>100000</c:v>
                </c:pt>
                <c:pt idx="8">
                  <c:v>38333.15</c:v>
                </c:pt>
              </c:numCache>
            </c:numRef>
          </c:val>
        </c:ser>
        <c:ser>
          <c:idx val="0"/>
          <c:order val="2"/>
          <c:tx>
            <c:strRef>
              <c:f>Zał.1_WPF_bazowy!$C$26</c:f>
              <c:strCache>
                <c:ptCount val="1"/>
                <c:pt idx="0">
                  <c:v>  wydatki na obsługę długu, w tym:</c:v>
                </c:pt>
              </c:strCache>
            </c:strRef>
          </c:tx>
          <c:marker>
            <c:symbol val="none"/>
          </c:marker>
          <c:cat>
            <c:numRef>
              <c:f>Zał.1_WPF_bazowy!$I$9:$Q$9</c:f>
              <c:numCache>
                <c:formatCode>0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Zał.1_WPF_bazowy!$I$26:$Q$26</c:f>
              <c:numCache>
                <c:formatCode>#,##0.00_ ;[Red]\-#,##0.00\ </c:formatCode>
                <c:ptCount val="9"/>
                <c:pt idx="0">
                  <c:v>75000</c:v>
                </c:pt>
                <c:pt idx="1">
                  <c:v>75000</c:v>
                </c:pt>
                <c:pt idx="2">
                  <c:v>55000</c:v>
                </c:pt>
                <c:pt idx="3">
                  <c:v>50000</c:v>
                </c:pt>
                <c:pt idx="4">
                  <c:v>43000</c:v>
                </c:pt>
                <c:pt idx="5">
                  <c:v>30000</c:v>
                </c:pt>
                <c:pt idx="6">
                  <c:v>15000</c:v>
                </c:pt>
                <c:pt idx="7">
                  <c:v>10000</c:v>
                </c:pt>
                <c:pt idx="8">
                  <c:v>2000</c:v>
                </c:pt>
              </c:numCache>
            </c:numRef>
          </c:val>
        </c:ser>
        <c:marker val="1"/>
        <c:axId val="76187520"/>
        <c:axId val="76189056"/>
      </c:lineChart>
      <c:catAx>
        <c:axId val="76187520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189056"/>
        <c:crosses val="autoZero"/>
        <c:auto val="1"/>
        <c:lblAlgn val="ctr"/>
        <c:lblOffset val="100"/>
      </c:catAx>
      <c:valAx>
        <c:axId val="76189056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187520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lineChart>
        <c:grouping val="standard"/>
        <c:ser>
          <c:idx val="0"/>
          <c:order val="0"/>
          <c:tx>
            <c:strRef>
              <c:f>Zał.1_WPF_bazowy!$C$11</c:f>
              <c:strCache>
                <c:ptCount val="1"/>
                <c:pt idx="0">
                  <c:v> Dochody bieżące</c:v>
                </c:pt>
              </c:strCache>
            </c:strRef>
          </c:tx>
          <c:marker>
            <c:symbol val="none"/>
          </c:marker>
          <c:cat>
            <c:numRef>
              <c:f>(Zał.1_WPF_bazowy!$E$9:$F$9,Zał.1_WPF_bazowy!$H$9:$Q$9)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(Zał.1_WPF_bazowy!$E$11:$F$11,Zał.1_WPF_bazowy!$H$11:$Q$11)</c:f>
              <c:numCache>
                <c:formatCode>#,##0.00_ ;[Red]\-#,##0.00\ </c:formatCode>
                <c:ptCount val="12"/>
                <c:pt idx="0">
                  <c:v>7671275.8099999996</c:v>
                </c:pt>
                <c:pt idx="1">
                  <c:v>8065350.5199999996</c:v>
                </c:pt>
                <c:pt idx="2">
                  <c:v>7564624.0599999996</c:v>
                </c:pt>
                <c:pt idx="3">
                  <c:v>7815009.8399999999</c:v>
                </c:pt>
                <c:pt idx="4">
                  <c:v>7895743</c:v>
                </c:pt>
                <c:pt idx="5">
                  <c:v>7988465</c:v>
                </c:pt>
                <c:pt idx="6">
                  <c:v>8053018</c:v>
                </c:pt>
                <c:pt idx="7">
                  <c:v>8194608</c:v>
                </c:pt>
                <c:pt idx="8">
                  <c:v>8343446</c:v>
                </c:pt>
                <c:pt idx="9">
                  <c:v>8499749</c:v>
                </c:pt>
                <c:pt idx="10">
                  <c:v>8663741</c:v>
                </c:pt>
                <c:pt idx="11">
                  <c:v>8835653</c:v>
                </c:pt>
              </c:numCache>
            </c:numRef>
          </c:val>
        </c:ser>
        <c:ser>
          <c:idx val="1"/>
          <c:order val="1"/>
          <c:tx>
            <c:strRef>
              <c:f>Zał.1_WPF_bazowy!$C$22</c:f>
              <c:strCache>
                <c:ptCount val="1"/>
                <c:pt idx="0">
                  <c:v> Wydatki bieżące</c:v>
                </c:pt>
              </c:strCache>
            </c:strRef>
          </c:tx>
          <c:marker>
            <c:symbol val="none"/>
          </c:marker>
          <c:cat>
            <c:numRef>
              <c:f>(Zał.1_WPF_bazowy!$E$9:$F$9,Zał.1_WPF_bazowy!$H$9:$Q$9)</c:f>
              <c:numCache>
                <c:formatCode>0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(Zał.1_WPF_bazowy!$E$22:$F$22,Zał.1_WPF_bazowy!$H$22:$Q$22)</c:f>
              <c:numCache>
                <c:formatCode>#,##0.00_ ;[Red]\-#,##0.00\ </c:formatCode>
                <c:ptCount val="12"/>
                <c:pt idx="0">
                  <c:v>7212062.29</c:v>
                </c:pt>
                <c:pt idx="1">
                  <c:v>6914327.4199999999</c:v>
                </c:pt>
                <c:pt idx="2">
                  <c:v>6944036.5999999996</c:v>
                </c:pt>
                <c:pt idx="3">
                  <c:v>7565258.8399999999</c:v>
                </c:pt>
                <c:pt idx="4">
                  <c:v>7124924</c:v>
                </c:pt>
                <c:pt idx="5">
                  <c:v>7118393</c:v>
                </c:pt>
                <c:pt idx="6">
                  <c:v>7344101</c:v>
                </c:pt>
                <c:pt idx="7">
                  <c:v>7473702</c:v>
                </c:pt>
                <c:pt idx="8">
                  <c:v>7595956</c:v>
                </c:pt>
                <c:pt idx="9">
                  <c:v>7722155</c:v>
                </c:pt>
                <c:pt idx="10">
                  <c:v>7850358</c:v>
                </c:pt>
                <c:pt idx="11">
                  <c:v>7982625</c:v>
                </c:pt>
              </c:numCache>
            </c:numRef>
          </c:val>
        </c:ser>
        <c:upDownBars>
          <c:gapWidth val="150"/>
          <c:upBars/>
          <c:downBars/>
        </c:upDownBars>
        <c:marker val="1"/>
        <c:axId val="76362496"/>
        <c:axId val="76364032"/>
      </c:lineChart>
      <c:catAx>
        <c:axId val="76362496"/>
        <c:scaling>
          <c:orientation val="minMax"/>
        </c:scaling>
        <c:axPos val="b"/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364032"/>
        <c:crosses val="autoZero"/>
        <c:auto val="1"/>
        <c:lblAlgn val="ctr"/>
        <c:lblOffset val="100"/>
      </c:catAx>
      <c:valAx>
        <c:axId val="76364032"/>
        <c:scaling>
          <c:orientation val="minMax"/>
        </c:scaling>
        <c:axPos val="l"/>
        <c:majorGridlines/>
        <c:numFmt formatCode="#,##0_ ;[Red]\-#,##0\ 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76362496"/>
        <c:crosses val="autoZero"/>
        <c:crossBetween val="between"/>
        <c:dispUnits>
          <c:builtInUnit val="thousands"/>
          <c:dispUnitsLbl>
            <c:txPr>
              <a:bodyPr rot="-540000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</c:dispUnitsLbl>
        </c:dispUnits>
      </c:valAx>
    </c:plotArea>
    <c:legend>
      <c:legendPos val="t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9525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</xdr:col>
      <xdr:colOff>95250</xdr:colOff>
      <xdr:row>0</xdr:row>
      <xdr:rowOff>200025</xdr:rowOff>
    </xdr:from>
    <xdr:ext cx="184731" cy="264560"/>
    <xdr:sp macro="" textlink="">
      <xdr:nvSpPr>
        <xdr:cNvPr id="3" name="pole tekstowe 2"/>
        <xdr:cNvSpPr txBox="1"/>
      </xdr:nvSpPr>
      <xdr:spPr>
        <a:xfrm>
          <a:off x="95250" y="19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1</xdr:row>
      <xdr:rowOff>152400</xdr:rowOff>
    </xdr:from>
    <xdr:to>
      <xdr:col>13</xdr:col>
      <xdr:colOff>638175</xdr:colOff>
      <xdr:row>17</xdr:row>
      <xdr:rowOff>0</xdr:rowOff>
    </xdr:to>
    <xdr:graphicFrame macro="">
      <xdr:nvGraphicFramePr>
        <xdr:cNvPr id="3167378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6</xdr:col>
      <xdr:colOff>457200</xdr:colOff>
      <xdr:row>17</xdr:row>
      <xdr:rowOff>28575</xdr:rowOff>
    </xdr:to>
    <xdr:graphicFrame macro="">
      <xdr:nvGraphicFramePr>
        <xdr:cNvPr id="3167379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457200</xdr:colOff>
      <xdr:row>33</xdr:row>
      <xdr:rowOff>28575</xdr:rowOff>
    </xdr:to>
    <xdr:graphicFrame macro="">
      <xdr:nvGraphicFramePr>
        <xdr:cNvPr id="3167380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180975</xdr:colOff>
      <xdr:row>17</xdr:row>
      <xdr:rowOff>161925</xdr:rowOff>
    </xdr:from>
    <xdr:to>
      <xdr:col>13</xdr:col>
      <xdr:colOff>638175</xdr:colOff>
      <xdr:row>33</xdr:row>
      <xdr:rowOff>9525</xdr:rowOff>
    </xdr:to>
    <xdr:graphicFrame macro="">
      <xdr:nvGraphicFramePr>
        <xdr:cNvPr id="3167381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171450</xdr:colOff>
      <xdr:row>34</xdr:row>
      <xdr:rowOff>95250</xdr:rowOff>
    </xdr:from>
    <xdr:to>
      <xdr:col>13</xdr:col>
      <xdr:colOff>628650</xdr:colOff>
      <xdr:row>49</xdr:row>
      <xdr:rowOff>114300</xdr:rowOff>
    </xdr:to>
    <xdr:graphicFrame macro="">
      <xdr:nvGraphicFramePr>
        <xdr:cNvPr id="3167382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180975</xdr:colOff>
      <xdr:row>50</xdr:row>
      <xdr:rowOff>66675</xdr:rowOff>
    </xdr:from>
    <xdr:to>
      <xdr:col>13</xdr:col>
      <xdr:colOff>638175</xdr:colOff>
      <xdr:row>65</xdr:row>
      <xdr:rowOff>95250</xdr:rowOff>
    </xdr:to>
    <xdr:graphicFrame macro="">
      <xdr:nvGraphicFramePr>
        <xdr:cNvPr id="3167383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67</xdr:row>
      <xdr:rowOff>57150</xdr:rowOff>
    </xdr:from>
    <xdr:to>
      <xdr:col>6</xdr:col>
      <xdr:colOff>466725</xdr:colOff>
      <xdr:row>82</xdr:row>
      <xdr:rowOff>85725</xdr:rowOff>
    </xdr:to>
    <xdr:graphicFrame macro="">
      <xdr:nvGraphicFramePr>
        <xdr:cNvPr id="3167384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9525</xdr:colOff>
      <xdr:row>50</xdr:row>
      <xdr:rowOff>85725</xdr:rowOff>
    </xdr:from>
    <xdr:to>
      <xdr:col>6</xdr:col>
      <xdr:colOff>466725</xdr:colOff>
      <xdr:row>65</xdr:row>
      <xdr:rowOff>114300</xdr:rowOff>
    </xdr:to>
    <xdr:graphicFrame macro="">
      <xdr:nvGraphicFramePr>
        <xdr:cNvPr id="3167385" name="Wykre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34</xdr:row>
      <xdr:rowOff>104775</xdr:rowOff>
    </xdr:from>
    <xdr:to>
      <xdr:col>6</xdr:col>
      <xdr:colOff>485775</xdr:colOff>
      <xdr:row>49</xdr:row>
      <xdr:rowOff>133350</xdr:rowOff>
    </xdr:to>
    <xdr:graphicFrame macro="">
      <xdr:nvGraphicFramePr>
        <xdr:cNvPr id="316738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190500</xdr:colOff>
      <xdr:row>67</xdr:row>
      <xdr:rowOff>66675</xdr:rowOff>
    </xdr:from>
    <xdr:to>
      <xdr:col>13</xdr:col>
      <xdr:colOff>647700</xdr:colOff>
      <xdr:row>82</xdr:row>
      <xdr:rowOff>95250</xdr:rowOff>
    </xdr:to>
    <xdr:graphicFrame macro="">
      <xdr:nvGraphicFramePr>
        <xdr:cNvPr id="3167387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84</xdr:row>
      <xdr:rowOff>95250</xdr:rowOff>
    </xdr:from>
    <xdr:to>
      <xdr:col>6</xdr:col>
      <xdr:colOff>457200</xdr:colOff>
      <xdr:row>99</xdr:row>
      <xdr:rowOff>123825</xdr:rowOff>
    </xdr:to>
    <xdr:graphicFrame macro="">
      <xdr:nvGraphicFramePr>
        <xdr:cNvPr id="3167388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180975</xdr:colOff>
      <xdr:row>84</xdr:row>
      <xdr:rowOff>114300</xdr:rowOff>
    </xdr:from>
    <xdr:to>
      <xdr:col>13</xdr:col>
      <xdr:colOff>638175</xdr:colOff>
      <xdr:row>99</xdr:row>
      <xdr:rowOff>142875</xdr:rowOff>
    </xdr:to>
    <xdr:graphicFrame macro="">
      <xdr:nvGraphicFramePr>
        <xdr:cNvPr id="3167389" name="Wykre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7">
    <tabColor rgb="FF00B050"/>
    <outlinePr summaryBelow="0"/>
  </sheetPr>
  <dimension ref="A1:R242"/>
  <sheetViews>
    <sheetView zoomScaleNormal="100" zoomScaleSheetLayoutView="100" workbookViewId="0">
      <pane xSplit="4" ySplit="9" topLeftCell="E43" activePane="bottomRight" state="frozen"/>
      <selection activeCell="H158" sqref="H158"/>
      <selection pane="topRight" activeCell="H158" sqref="H158"/>
      <selection pane="bottomLeft" activeCell="H158" sqref="H158"/>
      <selection pane="bottomRight" activeCell="D28" sqref="D28"/>
    </sheetView>
  </sheetViews>
  <sheetFormatPr defaultRowHeight="14.25" outlineLevelRow="5" outlineLevelCol="1"/>
  <cols>
    <col min="1" max="1" width="4.25" style="232" hidden="1" customWidth="1" outlineLevel="1"/>
    <col min="2" max="2" width="6.625" style="1" customWidth="1" collapsed="1"/>
    <col min="3" max="3" width="21.75" style="288" hidden="1" customWidth="1"/>
    <col min="4" max="4" width="64.125" style="1" customWidth="1"/>
    <col min="5" max="5" width="9.625" style="1" customWidth="1" outlineLevel="1"/>
    <col min="6" max="6" width="9.375" style="1" customWidth="1" outlineLevel="1"/>
    <col min="7" max="7" width="9" style="1" customWidth="1" outlineLevel="1"/>
    <col min="8" max="8" width="9.5" style="1" customWidth="1" outlineLevel="1"/>
    <col min="9" max="9" width="10" style="1" customWidth="1"/>
    <col min="10" max="11" width="9.375" style="1" customWidth="1"/>
    <col min="12" max="13" width="9" style="1" customWidth="1"/>
    <col min="14" max="14" width="9.125" style="1" customWidth="1"/>
    <col min="15" max="15" width="8.875" style="1" customWidth="1"/>
    <col min="16" max="17" width="9.125" style="1" customWidth="1"/>
  </cols>
  <sheetData>
    <row r="1" spans="1:18">
      <c r="B1" s="102" t="s">
        <v>324</v>
      </c>
      <c r="C1" s="284"/>
      <c r="D1" s="78"/>
      <c r="E1" s="77"/>
      <c r="F1" s="77"/>
      <c r="G1" s="77"/>
      <c r="H1" s="77"/>
      <c r="I1" s="79" t="s">
        <v>419</v>
      </c>
      <c r="J1" s="77"/>
      <c r="K1" s="77"/>
      <c r="L1" s="77"/>
      <c r="M1" s="77"/>
      <c r="N1" s="77"/>
      <c r="O1" s="77"/>
      <c r="P1" s="77"/>
      <c r="Q1" s="77"/>
      <c r="R1" s="78"/>
    </row>
    <row r="2" spans="1:18" ht="15">
      <c r="B2" s="103" t="s">
        <v>354</v>
      </c>
      <c r="C2" s="285"/>
      <c r="D2" s="104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</row>
    <row r="3" spans="1:18" ht="15">
      <c r="B3" s="103" t="s">
        <v>355</v>
      </c>
      <c r="C3" s="286"/>
      <c r="D3" s="78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>
      <c r="B4" s="278" t="s">
        <v>330</v>
      </c>
      <c r="C4" s="287"/>
      <c r="D4" s="81" t="str">
        <f>DaneZrodlowe!B4</f>
        <v>XLI/242/14</v>
      </c>
      <c r="E4" s="77"/>
      <c r="F4" s="77"/>
      <c r="G4" s="77"/>
      <c r="H4" s="77"/>
      <c r="K4" s="77"/>
      <c r="L4" s="77"/>
      <c r="M4" s="77"/>
      <c r="N4" s="77"/>
      <c r="O4" s="77"/>
      <c r="P4" s="77"/>
      <c r="Q4" s="77"/>
      <c r="R4" s="78"/>
    </row>
    <row r="5" spans="1:18">
      <c r="B5" s="279" t="s">
        <v>15</v>
      </c>
      <c r="D5" s="44" t="str">
        <f>DaneZrodlowe!C4</f>
        <v>KOWIESY</v>
      </c>
      <c r="E5" s="82"/>
      <c r="F5" s="101"/>
      <c r="G5" s="106"/>
      <c r="H5" s="82"/>
      <c r="K5" s="82"/>
      <c r="L5" s="77"/>
      <c r="M5" s="82"/>
      <c r="N5" s="105"/>
      <c r="O5" s="105"/>
      <c r="P5" s="77"/>
      <c r="Q5" s="77"/>
      <c r="R5" s="78"/>
    </row>
    <row r="6" spans="1:18">
      <c r="B6" s="280" t="s">
        <v>16</v>
      </c>
      <c r="D6" s="45" t="str">
        <f>CONCATENATE(DaneZrodlowe!N1," - ",DaneZrodlowe!Q1)</f>
        <v>2014 - 2022</v>
      </c>
      <c r="K6" s="82"/>
      <c r="L6" s="76"/>
      <c r="M6" s="82"/>
      <c r="N6" s="105"/>
      <c r="O6" s="105"/>
      <c r="P6" s="77"/>
      <c r="Q6" s="77"/>
      <c r="R6" s="78"/>
    </row>
    <row r="7" spans="1:18">
      <c r="E7" s="264"/>
      <c r="F7" s="264"/>
      <c r="G7" s="264"/>
      <c r="H7" s="264"/>
      <c r="K7" s="82"/>
      <c r="L7" s="77"/>
      <c r="M7" s="77"/>
      <c r="N7" s="77"/>
      <c r="O7" s="77"/>
      <c r="P7" s="77"/>
      <c r="Q7" s="77"/>
      <c r="R7" s="78"/>
    </row>
    <row r="8" spans="1:18" ht="25.5" customHeight="1">
      <c r="A8" s="274"/>
      <c r="B8" s="301" t="s">
        <v>487</v>
      </c>
      <c r="C8" s="301"/>
      <c r="D8" s="302"/>
      <c r="E8" s="300" t="s">
        <v>332</v>
      </c>
      <c r="F8" s="300" t="s">
        <v>332</v>
      </c>
      <c r="G8" s="299" t="s">
        <v>331</v>
      </c>
      <c r="H8" s="299" t="s">
        <v>332</v>
      </c>
      <c r="I8" s="373" t="s">
        <v>489</v>
      </c>
      <c r="J8" s="373"/>
      <c r="K8" s="373"/>
      <c r="L8" s="373"/>
      <c r="M8" s="372" t="s">
        <v>488</v>
      </c>
      <c r="N8" s="372"/>
      <c r="O8" s="372"/>
      <c r="P8" s="372"/>
      <c r="Q8" s="372"/>
      <c r="R8" s="78"/>
    </row>
    <row r="9" spans="1:18">
      <c r="A9" s="234" t="s">
        <v>343</v>
      </c>
      <c r="B9" s="29" t="s">
        <v>0</v>
      </c>
      <c r="C9" s="83" t="s">
        <v>435</v>
      </c>
      <c r="D9" s="214" t="s">
        <v>1</v>
      </c>
      <c r="E9" s="281">
        <f>+F9-1</f>
        <v>2011</v>
      </c>
      <c r="F9" s="282">
        <f>+G9-1</f>
        <v>2012</v>
      </c>
      <c r="G9" s="282">
        <f>+H9</f>
        <v>2013</v>
      </c>
      <c r="H9" s="283">
        <f>+I9-1</f>
        <v>2013</v>
      </c>
      <c r="I9" s="33">
        <f>+DaneZrodlowe!$N$1</f>
        <v>2014</v>
      </c>
      <c r="J9" s="30">
        <f>+I9+1</f>
        <v>2015</v>
      </c>
      <c r="K9" s="30">
        <f t="shared" ref="K9:Q9" si="0">+J9+1</f>
        <v>2016</v>
      </c>
      <c r="L9" s="30">
        <f t="shared" si="0"/>
        <v>2017</v>
      </c>
      <c r="M9" s="30">
        <f t="shared" si="0"/>
        <v>2018</v>
      </c>
      <c r="N9" s="30">
        <f t="shared" si="0"/>
        <v>2019</v>
      </c>
      <c r="O9" s="30">
        <f t="shared" si="0"/>
        <v>2020</v>
      </c>
      <c r="P9" s="30">
        <f t="shared" si="0"/>
        <v>2021</v>
      </c>
      <c r="Q9" s="30">
        <f t="shared" si="0"/>
        <v>2022</v>
      </c>
      <c r="R9" s="31"/>
    </row>
    <row r="10" spans="1:18" ht="15" outlineLevel="1">
      <c r="A10" s="232" t="s">
        <v>28</v>
      </c>
      <c r="B10" s="34">
        <v>1</v>
      </c>
      <c r="C10" s="289" t="s">
        <v>24</v>
      </c>
      <c r="D10" s="216" t="s">
        <v>24</v>
      </c>
      <c r="E10" s="70">
        <f>9675664.11</f>
        <v>9675664.1099999994</v>
      </c>
      <c r="F10" s="36">
        <f>10139497.07</f>
        <v>10139497.07</v>
      </c>
      <c r="G10" s="36">
        <f>9244413.99</f>
        <v>9244413.9900000002</v>
      </c>
      <c r="H10" s="37">
        <f>8789986.49</f>
        <v>8789986.4900000002</v>
      </c>
      <c r="I10" s="38">
        <f>9831848.84</f>
        <v>9831848.8399999999</v>
      </c>
      <c r="J10" s="39">
        <f>7895743</f>
        <v>7895743</v>
      </c>
      <c r="K10" s="39">
        <f>7988465</f>
        <v>7988465</v>
      </c>
      <c r="L10" s="39">
        <f>8053018</f>
        <v>8053018</v>
      </c>
      <c r="M10" s="39">
        <f>8194608</f>
        <v>8194608</v>
      </c>
      <c r="N10" s="39">
        <f>8343446</f>
        <v>8343446</v>
      </c>
      <c r="O10" s="39">
        <f>8499749</f>
        <v>8499749</v>
      </c>
      <c r="P10" s="39">
        <f>8663741</f>
        <v>8663741</v>
      </c>
      <c r="Q10" s="39">
        <f>8835653</f>
        <v>8835653</v>
      </c>
      <c r="R10" s="32"/>
    </row>
    <row r="11" spans="1:18" outlineLevel="2">
      <c r="A11" s="232" t="s">
        <v>28</v>
      </c>
      <c r="B11" s="35" t="s">
        <v>136</v>
      </c>
      <c r="C11" s="294" t="s">
        <v>40</v>
      </c>
      <c r="D11" s="217" t="s">
        <v>349</v>
      </c>
      <c r="E11" s="71">
        <f>7671275.81</f>
        <v>7671275.8099999996</v>
      </c>
      <c r="F11" s="40">
        <f>8065350.52</f>
        <v>8065350.5199999996</v>
      </c>
      <c r="G11" s="40">
        <f>7450734.44</f>
        <v>7450734.4400000004</v>
      </c>
      <c r="H11" s="41">
        <f>7564624.06</f>
        <v>7564624.0599999996</v>
      </c>
      <c r="I11" s="42">
        <f>7815009.84</f>
        <v>7815009.8399999999</v>
      </c>
      <c r="J11" s="43">
        <f>7895743</f>
        <v>7895743</v>
      </c>
      <c r="K11" s="43">
        <f>7988465</f>
        <v>7988465</v>
      </c>
      <c r="L11" s="43">
        <f>8053018</f>
        <v>8053018</v>
      </c>
      <c r="M11" s="43">
        <f>8194608</f>
        <v>8194608</v>
      </c>
      <c r="N11" s="43">
        <f>8343446</f>
        <v>8343446</v>
      </c>
      <c r="O11" s="43">
        <f>8499749</f>
        <v>8499749</v>
      </c>
      <c r="P11" s="43">
        <f>8663741</f>
        <v>8663741</v>
      </c>
      <c r="Q11" s="43">
        <f>8835653</f>
        <v>8835653</v>
      </c>
    </row>
    <row r="12" spans="1:18" outlineLevel="3">
      <c r="B12" s="35" t="s">
        <v>41</v>
      </c>
      <c r="C12" s="86" t="s">
        <v>42</v>
      </c>
      <c r="D12" s="218" t="s">
        <v>183</v>
      </c>
      <c r="E12" s="71">
        <f>708940</f>
        <v>708940</v>
      </c>
      <c r="F12" s="40">
        <f>789853</f>
        <v>789853</v>
      </c>
      <c r="G12" s="40">
        <f>792391</f>
        <v>792391</v>
      </c>
      <c r="H12" s="41">
        <f>762681</f>
        <v>762681</v>
      </c>
      <c r="I12" s="42">
        <f>948118</f>
        <v>948118</v>
      </c>
      <c r="J12" s="43">
        <f>995523</f>
        <v>995523</v>
      </c>
      <c r="K12" s="43">
        <f>1045300</f>
        <v>1045300</v>
      </c>
      <c r="L12" s="43">
        <f>1097565</f>
        <v>1097565</v>
      </c>
      <c r="M12" s="43">
        <f>0</f>
        <v>0</v>
      </c>
      <c r="N12" s="43">
        <f>0</f>
        <v>0</v>
      </c>
      <c r="O12" s="43">
        <f>0</f>
        <v>0</v>
      </c>
      <c r="P12" s="43">
        <f>0</f>
        <v>0</v>
      </c>
      <c r="Q12" s="43">
        <f>0</f>
        <v>0</v>
      </c>
    </row>
    <row r="13" spans="1:18" outlineLevel="3">
      <c r="B13" s="35" t="s">
        <v>43</v>
      </c>
      <c r="C13" s="86" t="s">
        <v>44</v>
      </c>
      <c r="D13" s="218" t="s">
        <v>184</v>
      </c>
      <c r="E13" s="71">
        <f>4554.66</f>
        <v>4554.66</v>
      </c>
      <c r="F13" s="40">
        <f>7007.11</f>
        <v>7007.11</v>
      </c>
      <c r="G13" s="40">
        <f>6000</f>
        <v>6000</v>
      </c>
      <c r="H13" s="41">
        <f>7156.61</f>
        <v>7156.61</v>
      </c>
      <c r="I13" s="42">
        <f>6000</f>
        <v>6000</v>
      </c>
      <c r="J13" s="43">
        <f>6300</f>
        <v>6300</v>
      </c>
      <c r="K13" s="43">
        <f>6615</f>
        <v>6615</v>
      </c>
      <c r="L13" s="43">
        <f>6945</f>
        <v>6945</v>
      </c>
      <c r="M13" s="43">
        <f>0</f>
        <v>0</v>
      </c>
      <c r="N13" s="43">
        <f>0</f>
        <v>0</v>
      </c>
      <c r="O13" s="43">
        <f>0</f>
        <v>0</v>
      </c>
      <c r="P13" s="43">
        <f>0</f>
        <v>0</v>
      </c>
      <c r="Q13" s="43">
        <f>0</f>
        <v>0</v>
      </c>
    </row>
    <row r="14" spans="1:18" outlineLevel="3">
      <c r="B14" s="35" t="s">
        <v>45</v>
      </c>
      <c r="C14" s="86" t="s">
        <v>46</v>
      </c>
      <c r="D14" s="218" t="s">
        <v>461</v>
      </c>
      <c r="E14" s="71">
        <f>1818324.96</f>
        <v>1818324.96</v>
      </c>
      <c r="F14" s="40">
        <f>1971446.08</f>
        <v>1971446.08</v>
      </c>
      <c r="G14" s="40">
        <f>2079747</f>
        <v>2079747</v>
      </c>
      <c r="H14" s="41">
        <f>2073978.77</f>
        <v>2073978.77</v>
      </c>
      <c r="I14" s="42">
        <f>2147754</f>
        <v>2147754</v>
      </c>
      <c r="J14" s="43">
        <f>2214967</f>
        <v>2214967</v>
      </c>
      <c r="K14" s="43">
        <f>2281416</f>
        <v>2281416</v>
      </c>
      <c r="L14" s="43">
        <f>2349859</f>
        <v>2349859</v>
      </c>
      <c r="M14" s="43">
        <f>0</f>
        <v>0</v>
      </c>
      <c r="N14" s="43">
        <f>0</f>
        <v>0</v>
      </c>
      <c r="O14" s="43">
        <f>0</f>
        <v>0</v>
      </c>
      <c r="P14" s="43">
        <f>0</f>
        <v>0</v>
      </c>
      <c r="Q14" s="43">
        <f>0</f>
        <v>0</v>
      </c>
    </row>
    <row r="15" spans="1:18" outlineLevel="4">
      <c r="B15" s="35" t="s">
        <v>47</v>
      </c>
      <c r="C15" s="86" t="s">
        <v>48</v>
      </c>
      <c r="D15" s="219" t="s">
        <v>185</v>
      </c>
      <c r="E15" s="71">
        <f>954120.66</f>
        <v>954120.66</v>
      </c>
      <c r="F15" s="40">
        <f>1013463.68</f>
        <v>1013463.68</v>
      </c>
      <c r="G15" s="40">
        <f>1057013</f>
        <v>1057013</v>
      </c>
      <c r="H15" s="41">
        <f>1098652.7</f>
        <v>1098652.7</v>
      </c>
      <c r="I15" s="42">
        <f>1057000</f>
        <v>1057000</v>
      </c>
      <c r="J15" s="43">
        <f>1088723</f>
        <v>1088723</v>
      </c>
      <c r="K15" s="43">
        <f>1121385</f>
        <v>1121385</v>
      </c>
      <c r="L15" s="43">
        <f>1155026</f>
        <v>1155026</v>
      </c>
      <c r="M15" s="43">
        <f>0</f>
        <v>0</v>
      </c>
      <c r="N15" s="43">
        <f>0</f>
        <v>0</v>
      </c>
      <c r="O15" s="43">
        <f>0</f>
        <v>0</v>
      </c>
      <c r="P15" s="43">
        <f>0</f>
        <v>0</v>
      </c>
      <c r="Q15" s="43">
        <f>0</f>
        <v>0</v>
      </c>
    </row>
    <row r="16" spans="1:18" outlineLevel="3">
      <c r="B16" s="35" t="s">
        <v>49</v>
      </c>
      <c r="C16" s="86" t="s">
        <v>50</v>
      </c>
      <c r="D16" s="218" t="s">
        <v>186</v>
      </c>
      <c r="E16" s="71">
        <f>2979106</f>
        <v>2979106</v>
      </c>
      <c r="F16" s="40">
        <f>3155234</f>
        <v>3155234</v>
      </c>
      <c r="G16" s="40">
        <f>2873140</f>
        <v>2873140</v>
      </c>
      <c r="H16" s="41">
        <f>2873140</f>
        <v>2873140</v>
      </c>
      <c r="I16" s="42">
        <f>2880936</f>
        <v>2880936</v>
      </c>
      <c r="J16" s="43">
        <f>2969796</f>
        <v>2969796</v>
      </c>
      <c r="K16" s="43">
        <f>3058890</f>
        <v>3058890</v>
      </c>
      <c r="L16" s="43">
        <f>3150657</f>
        <v>3150657</v>
      </c>
      <c r="M16" s="43">
        <f>0</f>
        <v>0</v>
      </c>
      <c r="N16" s="43">
        <f>0</f>
        <v>0</v>
      </c>
      <c r="O16" s="43">
        <f>0</f>
        <v>0</v>
      </c>
      <c r="P16" s="43">
        <f>0</f>
        <v>0</v>
      </c>
      <c r="Q16" s="43">
        <f>0</f>
        <v>0</v>
      </c>
    </row>
    <row r="17" spans="1:18" outlineLevel="3">
      <c r="B17" s="35" t="s">
        <v>51</v>
      </c>
      <c r="C17" s="86" t="s">
        <v>52</v>
      </c>
      <c r="D17" s="218" t="s">
        <v>187</v>
      </c>
      <c r="E17" s="71">
        <f>1842687.7</f>
        <v>1842687.7</v>
      </c>
      <c r="F17" s="40">
        <f>1375126</f>
        <v>1375126</v>
      </c>
      <c r="G17" s="40">
        <f>1353806.44</f>
        <v>1353806.44</v>
      </c>
      <c r="H17" s="41">
        <f>1427155.41</f>
        <v>1427155.41</v>
      </c>
      <c r="I17" s="42">
        <f>1463349.84</f>
        <v>1463349.84</v>
      </c>
      <c r="J17" s="43">
        <f>1300000</f>
        <v>1300000</v>
      </c>
      <c r="K17" s="43">
        <f>1350000</f>
        <v>1350000</v>
      </c>
      <c r="L17" s="43">
        <f>1400000</f>
        <v>1400000</v>
      </c>
      <c r="M17" s="43">
        <f>0</f>
        <v>0</v>
      </c>
      <c r="N17" s="43">
        <f>0</f>
        <v>0</v>
      </c>
      <c r="O17" s="43">
        <f>0</f>
        <v>0</v>
      </c>
      <c r="P17" s="43">
        <f>0</f>
        <v>0</v>
      </c>
      <c r="Q17" s="43">
        <f>0</f>
        <v>0</v>
      </c>
    </row>
    <row r="18" spans="1:18" outlineLevel="2">
      <c r="A18" s="232" t="s">
        <v>28</v>
      </c>
      <c r="B18" s="35" t="s">
        <v>137</v>
      </c>
      <c r="C18" s="86" t="s">
        <v>426</v>
      </c>
      <c r="D18" s="217" t="s">
        <v>460</v>
      </c>
      <c r="E18" s="71">
        <f>2004388.3</f>
        <v>2004388.3</v>
      </c>
      <c r="F18" s="40">
        <f>2074146.55</f>
        <v>2074146.55</v>
      </c>
      <c r="G18" s="40">
        <f>1793679.55</f>
        <v>1793679.55</v>
      </c>
      <c r="H18" s="41">
        <f>1225362.43</f>
        <v>1225362.43</v>
      </c>
      <c r="I18" s="42">
        <f>2016839</f>
        <v>2016839</v>
      </c>
      <c r="J18" s="43">
        <f>0</f>
        <v>0</v>
      </c>
      <c r="K18" s="43">
        <f>0</f>
        <v>0</v>
      </c>
      <c r="L18" s="43">
        <f>0</f>
        <v>0</v>
      </c>
      <c r="M18" s="43">
        <f>0</f>
        <v>0</v>
      </c>
      <c r="N18" s="43">
        <f>0</f>
        <v>0</v>
      </c>
      <c r="O18" s="43">
        <f>0</f>
        <v>0</v>
      </c>
      <c r="P18" s="43">
        <f>0</f>
        <v>0</v>
      </c>
      <c r="Q18" s="43">
        <f>0</f>
        <v>0</v>
      </c>
    </row>
    <row r="19" spans="1:18" outlineLevel="3">
      <c r="A19" s="232" t="s">
        <v>28</v>
      </c>
      <c r="B19" s="35" t="s">
        <v>54</v>
      </c>
      <c r="C19" s="86" t="s">
        <v>55</v>
      </c>
      <c r="D19" s="218" t="s">
        <v>27</v>
      </c>
      <c r="E19" s="71">
        <f>157835</f>
        <v>157835</v>
      </c>
      <c r="F19" s="40">
        <f>15320.88</f>
        <v>15320.88</v>
      </c>
      <c r="G19" s="40">
        <f>494200</f>
        <v>494200</v>
      </c>
      <c r="H19" s="41">
        <f>421241</f>
        <v>421241</v>
      </c>
      <c r="I19" s="42">
        <f>190000</f>
        <v>190000</v>
      </c>
      <c r="J19" s="43">
        <f>0</f>
        <v>0</v>
      </c>
      <c r="K19" s="43">
        <f>0</f>
        <v>0</v>
      </c>
      <c r="L19" s="43">
        <f>0</f>
        <v>0</v>
      </c>
      <c r="M19" s="43">
        <f>0</f>
        <v>0</v>
      </c>
      <c r="N19" s="43">
        <f>0</f>
        <v>0</v>
      </c>
      <c r="O19" s="43">
        <f>0</f>
        <v>0</v>
      </c>
      <c r="P19" s="43">
        <f>0</f>
        <v>0</v>
      </c>
      <c r="Q19" s="43">
        <f>0</f>
        <v>0</v>
      </c>
    </row>
    <row r="20" spans="1:18" outlineLevel="3">
      <c r="B20" s="35" t="s">
        <v>56</v>
      </c>
      <c r="C20" s="86" t="s">
        <v>57</v>
      </c>
      <c r="D20" s="218" t="s">
        <v>188</v>
      </c>
      <c r="E20" s="71">
        <f>1846553.3</f>
        <v>1846553.3</v>
      </c>
      <c r="F20" s="40">
        <f>2058825.67</f>
        <v>2058825.67</v>
      </c>
      <c r="G20" s="40">
        <f>1299479.55</f>
        <v>1299479.55</v>
      </c>
      <c r="H20" s="41">
        <f>804121.43</f>
        <v>804121.43</v>
      </c>
      <c r="I20" s="42">
        <f>1826839</f>
        <v>1826839</v>
      </c>
      <c r="J20" s="43">
        <f>0</f>
        <v>0</v>
      </c>
      <c r="K20" s="43">
        <f>0</f>
        <v>0</v>
      </c>
      <c r="L20" s="43">
        <f>0</f>
        <v>0</v>
      </c>
      <c r="M20" s="43">
        <f>0</f>
        <v>0</v>
      </c>
      <c r="N20" s="43">
        <f>0</f>
        <v>0</v>
      </c>
      <c r="O20" s="43">
        <f>0</f>
        <v>0</v>
      </c>
      <c r="P20" s="43">
        <f>0</f>
        <v>0</v>
      </c>
      <c r="Q20" s="43">
        <f>0</f>
        <v>0</v>
      </c>
    </row>
    <row r="21" spans="1:18" ht="15" outlineLevel="1">
      <c r="A21" s="232" t="s">
        <v>28</v>
      </c>
      <c r="B21" s="34">
        <v>2</v>
      </c>
      <c r="C21" s="289" t="s">
        <v>19</v>
      </c>
      <c r="D21" s="216" t="s">
        <v>19</v>
      </c>
      <c r="E21" s="70">
        <f>10779094.59</f>
        <v>10779094.59</v>
      </c>
      <c r="F21" s="36">
        <f>9050022.64</f>
        <v>9050022.6400000006</v>
      </c>
      <c r="G21" s="36">
        <f>10587520.99</f>
        <v>10587520.99</v>
      </c>
      <c r="H21" s="37">
        <f>9708899.2</f>
        <v>9708899.1999999993</v>
      </c>
      <c r="I21" s="38">
        <f>10489061.84</f>
        <v>10489061.84</v>
      </c>
      <c r="J21" s="39">
        <f>7358051</f>
        <v>7358051</v>
      </c>
      <c r="K21" s="39">
        <f>7470008</f>
        <v>7470008</v>
      </c>
      <c r="L21" s="39">
        <f>7603018</f>
        <v>7603018</v>
      </c>
      <c r="M21" s="39">
        <f>7844608</f>
        <v>7844608</v>
      </c>
      <c r="N21" s="39">
        <f>8043446</f>
        <v>8043446</v>
      </c>
      <c r="O21" s="39">
        <f>8249749</f>
        <v>8249749</v>
      </c>
      <c r="P21" s="39">
        <f>8563741</f>
        <v>8563741</v>
      </c>
      <c r="Q21" s="39">
        <f>8797319.85</f>
        <v>8797319.8499999996</v>
      </c>
      <c r="R21" s="32"/>
    </row>
    <row r="22" spans="1:18" outlineLevel="2">
      <c r="A22" s="232" t="s">
        <v>28</v>
      </c>
      <c r="B22" s="35" t="s">
        <v>138</v>
      </c>
      <c r="C22" s="294" t="s">
        <v>427</v>
      </c>
      <c r="D22" s="217" t="s">
        <v>189</v>
      </c>
      <c r="E22" s="71">
        <f>7212062.29</f>
        <v>7212062.29</v>
      </c>
      <c r="F22" s="40">
        <f>6914327.42</f>
        <v>6914327.4199999999</v>
      </c>
      <c r="G22" s="40">
        <f>7314728.99</f>
        <v>7314728.9900000002</v>
      </c>
      <c r="H22" s="41">
        <f>6944036.6</f>
        <v>6944036.5999999996</v>
      </c>
      <c r="I22" s="42">
        <f>7565258.84</f>
        <v>7565258.8399999999</v>
      </c>
      <c r="J22" s="43">
        <f>7124924</f>
        <v>7124924</v>
      </c>
      <c r="K22" s="43">
        <f>7118393</f>
        <v>7118393</v>
      </c>
      <c r="L22" s="43">
        <f>7344101</f>
        <v>7344101</v>
      </c>
      <c r="M22" s="43">
        <f>7473702</f>
        <v>7473702</v>
      </c>
      <c r="N22" s="43">
        <f>7595956</f>
        <v>7595956</v>
      </c>
      <c r="O22" s="43">
        <f>7722155</f>
        <v>7722155</v>
      </c>
      <c r="P22" s="43">
        <f>7850358</f>
        <v>7850358</v>
      </c>
      <c r="Q22" s="43">
        <f>7982625</f>
        <v>7982625</v>
      </c>
    </row>
    <row r="23" spans="1:18" outlineLevel="3">
      <c r="A23" s="232" t="s">
        <v>28</v>
      </c>
      <c r="B23" s="35" t="s">
        <v>59</v>
      </c>
      <c r="C23" s="86" t="s">
        <v>60</v>
      </c>
      <c r="D23" s="218" t="s">
        <v>459</v>
      </c>
      <c r="E23" s="71">
        <f>0</f>
        <v>0</v>
      </c>
      <c r="F23" s="40">
        <f>0</f>
        <v>0</v>
      </c>
      <c r="G23" s="40">
        <f>0</f>
        <v>0</v>
      </c>
      <c r="H23" s="41">
        <f>0</f>
        <v>0</v>
      </c>
      <c r="I23" s="42">
        <f>0</f>
        <v>0</v>
      </c>
      <c r="J23" s="43">
        <f>0</f>
        <v>0</v>
      </c>
      <c r="K23" s="43">
        <f>0</f>
        <v>0</v>
      </c>
      <c r="L23" s="43">
        <f>0</f>
        <v>0</v>
      </c>
      <c r="M23" s="43">
        <f>0</f>
        <v>0</v>
      </c>
      <c r="N23" s="43">
        <f>0</f>
        <v>0</v>
      </c>
      <c r="O23" s="43">
        <f>0</f>
        <v>0</v>
      </c>
      <c r="P23" s="43">
        <f>0</f>
        <v>0</v>
      </c>
      <c r="Q23" s="43">
        <f>0</f>
        <v>0</v>
      </c>
    </row>
    <row r="24" spans="1:18" ht="24" outlineLevel="4">
      <c r="A24" s="232" t="s">
        <v>28</v>
      </c>
      <c r="B24" s="35" t="s">
        <v>61</v>
      </c>
      <c r="C24" s="86" t="s">
        <v>358</v>
      </c>
      <c r="D24" s="219" t="s">
        <v>458</v>
      </c>
      <c r="E24" s="71">
        <f>0</f>
        <v>0</v>
      </c>
      <c r="F24" s="40">
        <f>0</f>
        <v>0</v>
      </c>
      <c r="G24" s="40">
        <f>0</f>
        <v>0</v>
      </c>
      <c r="H24" s="41">
        <f>0</f>
        <v>0</v>
      </c>
      <c r="I24" s="42">
        <f>0</f>
        <v>0</v>
      </c>
      <c r="J24" s="43">
        <f>0</f>
        <v>0</v>
      </c>
      <c r="K24" s="43">
        <f>0</f>
        <v>0</v>
      </c>
      <c r="L24" s="43">
        <f>0</f>
        <v>0</v>
      </c>
      <c r="M24" s="43">
        <f>0</f>
        <v>0</v>
      </c>
      <c r="N24" s="43">
        <f>0</f>
        <v>0</v>
      </c>
      <c r="O24" s="43">
        <f>0</f>
        <v>0</v>
      </c>
      <c r="P24" s="43">
        <f>0</f>
        <v>0</v>
      </c>
      <c r="Q24" s="43">
        <f>0</f>
        <v>0</v>
      </c>
    </row>
    <row r="25" spans="1:18" ht="36" outlineLevel="3">
      <c r="B25" s="35" t="s">
        <v>62</v>
      </c>
      <c r="C25" s="86" t="s">
        <v>359</v>
      </c>
      <c r="D25" s="218" t="s">
        <v>482</v>
      </c>
      <c r="E25" s="71">
        <f>0</f>
        <v>0</v>
      </c>
      <c r="F25" s="40">
        <f>0</f>
        <v>0</v>
      </c>
      <c r="G25" s="40">
        <f>0</f>
        <v>0</v>
      </c>
      <c r="H25" s="41">
        <f>0</f>
        <v>0</v>
      </c>
      <c r="I25" s="42">
        <f>0</f>
        <v>0</v>
      </c>
      <c r="J25" s="43">
        <f>0</f>
        <v>0</v>
      </c>
      <c r="K25" s="43">
        <f>0</f>
        <v>0</v>
      </c>
      <c r="L25" s="43">
        <f>0</f>
        <v>0</v>
      </c>
      <c r="M25" s="43">
        <f>0</f>
        <v>0</v>
      </c>
      <c r="N25" s="43">
        <f>0</f>
        <v>0</v>
      </c>
      <c r="O25" s="43">
        <f>0</f>
        <v>0</v>
      </c>
      <c r="P25" s="43">
        <f>0</f>
        <v>0</v>
      </c>
      <c r="Q25" s="43">
        <f>0</f>
        <v>0</v>
      </c>
    </row>
    <row r="26" spans="1:18" outlineLevel="3">
      <c r="A26" s="232" t="s">
        <v>28</v>
      </c>
      <c r="B26" s="35" t="s">
        <v>63</v>
      </c>
      <c r="C26" s="86" t="s">
        <v>360</v>
      </c>
      <c r="D26" s="218" t="s">
        <v>190</v>
      </c>
      <c r="E26" s="71">
        <f>36136.47</f>
        <v>36136.47</v>
      </c>
      <c r="F26" s="40">
        <f>111439.26</f>
        <v>111439.26</v>
      </c>
      <c r="G26" s="40">
        <f>100000</f>
        <v>100000</v>
      </c>
      <c r="H26" s="41">
        <f>63955.86</f>
        <v>63955.86</v>
      </c>
      <c r="I26" s="42">
        <f>75000</f>
        <v>75000</v>
      </c>
      <c r="J26" s="43">
        <f>75000</f>
        <v>75000</v>
      </c>
      <c r="K26" s="43">
        <f>55000</f>
        <v>55000</v>
      </c>
      <c r="L26" s="43">
        <f>50000</f>
        <v>50000</v>
      </c>
      <c r="M26" s="43">
        <f>43000</f>
        <v>43000</v>
      </c>
      <c r="N26" s="43">
        <f>30000</f>
        <v>30000</v>
      </c>
      <c r="O26" s="43">
        <f>15000</f>
        <v>15000</v>
      </c>
      <c r="P26" s="43">
        <f>10000</f>
        <v>10000</v>
      </c>
      <c r="Q26" s="43">
        <f>2000</f>
        <v>2000</v>
      </c>
    </row>
    <row r="27" spans="1:18" outlineLevel="4">
      <c r="A27" s="232" t="s">
        <v>28</v>
      </c>
      <c r="B27" s="35" t="s">
        <v>64</v>
      </c>
      <c r="C27" s="86" t="s">
        <v>361</v>
      </c>
      <c r="D27" s="219" t="s">
        <v>481</v>
      </c>
      <c r="E27" s="71">
        <f>36136.47</f>
        <v>36136.47</v>
      </c>
      <c r="F27" s="40">
        <f>111439.26</f>
        <v>111439.26</v>
      </c>
      <c r="G27" s="40">
        <f>100000</f>
        <v>100000</v>
      </c>
      <c r="H27" s="41">
        <f>63955.86</f>
        <v>63955.86</v>
      </c>
      <c r="I27" s="42">
        <f>75000</f>
        <v>75000</v>
      </c>
      <c r="J27" s="43">
        <f>75000</f>
        <v>75000</v>
      </c>
      <c r="K27" s="43">
        <f>55000</f>
        <v>55000</v>
      </c>
      <c r="L27" s="43">
        <f>50000</f>
        <v>50000</v>
      </c>
      <c r="M27" s="43">
        <f>43000</f>
        <v>43000</v>
      </c>
      <c r="N27" s="43">
        <f>30000</f>
        <v>30000</v>
      </c>
      <c r="O27" s="43">
        <f>15000</f>
        <v>15000</v>
      </c>
      <c r="P27" s="43">
        <f>10000</f>
        <v>10000</v>
      </c>
      <c r="Q27" s="43">
        <f>2000</f>
        <v>2000</v>
      </c>
    </row>
    <row r="28" spans="1:18" s="268" customFormat="1" ht="36" outlineLevel="5">
      <c r="A28" s="274" t="s">
        <v>28</v>
      </c>
      <c r="B28" s="35" t="s">
        <v>362</v>
      </c>
      <c r="C28" s="86" t="s">
        <v>363</v>
      </c>
      <c r="D28" s="303" t="s">
        <v>436</v>
      </c>
      <c r="E28" s="71">
        <f>0</f>
        <v>0</v>
      </c>
      <c r="F28" s="40">
        <f>0</f>
        <v>0</v>
      </c>
      <c r="G28" s="40">
        <f>0</f>
        <v>0</v>
      </c>
      <c r="H28" s="41">
        <f>0</f>
        <v>0</v>
      </c>
      <c r="I28" s="42">
        <f>0</f>
        <v>0</v>
      </c>
      <c r="J28" s="43">
        <f>0</f>
        <v>0</v>
      </c>
      <c r="K28" s="43">
        <f>0</f>
        <v>0</v>
      </c>
      <c r="L28" s="43">
        <f>0</f>
        <v>0</v>
      </c>
      <c r="M28" s="43">
        <f>0</f>
        <v>0</v>
      </c>
      <c r="N28" s="43">
        <f>0</f>
        <v>0</v>
      </c>
      <c r="O28" s="43">
        <f>0</f>
        <v>0</v>
      </c>
      <c r="P28" s="43">
        <f>0</f>
        <v>0</v>
      </c>
      <c r="Q28" s="43">
        <f>0</f>
        <v>0</v>
      </c>
    </row>
    <row r="29" spans="1:18" s="268" customFormat="1" ht="24" outlineLevel="5">
      <c r="A29" s="274" t="s">
        <v>28</v>
      </c>
      <c r="B29" s="35" t="s">
        <v>364</v>
      </c>
      <c r="C29" s="86" t="s">
        <v>365</v>
      </c>
      <c r="D29" s="295" t="s">
        <v>437</v>
      </c>
      <c r="E29" s="71">
        <f>0</f>
        <v>0</v>
      </c>
      <c r="F29" s="40">
        <f>0</f>
        <v>0</v>
      </c>
      <c r="G29" s="40">
        <f>0</f>
        <v>0</v>
      </c>
      <c r="H29" s="41">
        <f>6687.99</f>
        <v>6687.99</v>
      </c>
      <c r="I29" s="42">
        <f>26969</f>
        <v>26969</v>
      </c>
      <c r="J29" s="43">
        <f>22625</f>
        <v>22625</v>
      </c>
      <c r="K29" s="43">
        <f>18281</f>
        <v>18281</v>
      </c>
      <c r="L29" s="43">
        <f>13937</f>
        <v>13937</v>
      </c>
      <c r="M29" s="43">
        <f>9593</f>
        <v>9593</v>
      </c>
      <c r="N29" s="43">
        <f>5249</f>
        <v>5249</v>
      </c>
      <c r="O29" s="43">
        <f>1086</f>
        <v>1086</v>
      </c>
      <c r="P29" s="43">
        <f>0</f>
        <v>0</v>
      </c>
      <c r="Q29" s="43">
        <f>0</f>
        <v>0</v>
      </c>
    </row>
    <row r="30" spans="1:18" outlineLevel="2">
      <c r="A30" s="232" t="s">
        <v>28</v>
      </c>
      <c r="B30" s="35" t="s">
        <v>139</v>
      </c>
      <c r="C30" s="86" t="s">
        <v>65</v>
      </c>
      <c r="D30" s="217" t="s">
        <v>20</v>
      </c>
      <c r="E30" s="71">
        <f>3567032.3</f>
        <v>3567032.3</v>
      </c>
      <c r="F30" s="40">
        <f>2135695.22</f>
        <v>2135695.2200000002</v>
      </c>
      <c r="G30" s="40">
        <f>3272792</f>
        <v>3272792</v>
      </c>
      <c r="H30" s="41">
        <f>2764862.6</f>
        <v>2764862.6</v>
      </c>
      <c r="I30" s="42">
        <f>2923803</f>
        <v>2923803</v>
      </c>
      <c r="J30" s="43">
        <f>233127</f>
        <v>233127</v>
      </c>
      <c r="K30" s="43">
        <f>351615</f>
        <v>351615</v>
      </c>
      <c r="L30" s="43">
        <f>258917</f>
        <v>258917</v>
      </c>
      <c r="M30" s="43">
        <f>370906</f>
        <v>370906</v>
      </c>
      <c r="N30" s="43">
        <f>447490</f>
        <v>447490</v>
      </c>
      <c r="O30" s="43">
        <f>527594</f>
        <v>527594</v>
      </c>
      <c r="P30" s="43">
        <f>713383</f>
        <v>713383</v>
      </c>
      <c r="Q30" s="43">
        <f>814694.85</f>
        <v>814694.85</v>
      </c>
    </row>
    <row r="31" spans="1:18" ht="15" outlineLevel="1">
      <c r="A31" s="232" t="s">
        <v>28</v>
      </c>
      <c r="B31" s="34">
        <v>3</v>
      </c>
      <c r="C31" s="289" t="s">
        <v>21</v>
      </c>
      <c r="D31" s="216" t="s">
        <v>21</v>
      </c>
      <c r="E31" s="70">
        <f>-1103430.48</f>
        <v>-1103430.48</v>
      </c>
      <c r="F31" s="36">
        <f>1089474.43</f>
        <v>1089474.43</v>
      </c>
      <c r="G31" s="36">
        <f>-1343107</f>
        <v>-1343107</v>
      </c>
      <c r="H31" s="37">
        <f>-918912.71</f>
        <v>-918912.71</v>
      </c>
      <c r="I31" s="38">
        <f>-657213</f>
        <v>-657213</v>
      </c>
      <c r="J31" s="39">
        <f>537692</f>
        <v>537692</v>
      </c>
      <c r="K31" s="39">
        <f>518457</f>
        <v>518457</v>
      </c>
      <c r="L31" s="39">
        <f>450000</f>
        <v>450000</v>
      </c>
      <c r="M31" s="39">
        <f>350000</f>
        <v>350000</v>
      </c>
      <c r="N31" s="39">
        <f>300000</f>
        <v>300000</v>
      </c>
      <c r="O31" s="39">
        <f>250000</f>
        <v>250000</v>
      </c>
      <c r="P31" s="39">
        <f>100000</f>
        <v>100000</v>
      </c>
      <c r="Q31" s="39">
        <f>38333.15</f>
        <v>38333.15</v>
      </c>
      <c r="R31" s="32"/>
    </row>
    <row r="32" spans="1:18" ht="15" outlineLevel="1">
      <c r="A32" s="232" t="s">
        <v>28</v>
      </c>
      <c r="B32" s="34">
        <v>4</v>
      </c>
      <c r="C32" s="289" t="s">
        <v>22</v>
      </c>
      <c r="D32" s="216" t="s">
        <v>22</v>
      </c>
      <c r="E32" s="70">
        <f>2377720.4</f>
        <v>2377720.4</v>
      </c>
      <c r="F32" s="36">
        <f>268964.28</f>
        <v>268964.28000000003</v>
      </c>
      <c r="G32" s="36">
        <f>1680058</f>
        <v>1680058</v>
      </c>
      <c r="H32" s="37">
        <f>1521991.78</f>
        <v>1521991.78</v>
      </c>
      <c r="I32" s="38">
        <f>1129834</f>
        <v>1129834</v>
      </c>
      <c r="J32" s="39">
        <f>0</f>
        <v>0</v>
      </c>
      <c r="K32" s="39">
        <f>0</f>
        <v>0</v>
      </c>
      <c r="L32" s="39">
        <f>0</f>
        <v>0</v>
      </c>
      <c r="M32" s="39">
        <f>0</f>
        <v>0</v>
      </c>
      <c r="N32" s="39">
        <f>0</f>
        <v>0</v>
      </c>
      <c r="O32" s="39">
        <f>0</f>
        <v>0</v>
      </c>
      <c r="P32" s="39">
        <f>0</f>
        <v>0</v>
      </c>
      <c r="Q32" s="39">
        <f>0</f>
        <v>0</v>
      </c>
      <c r="R32" s="32"/>
    </row>
    <row r="33" spans="1:18" outlineLevel="2">
      <c r="A33" s="232" t="s">
        <v>28</v>
      </c>
      <c r="B33" s="35" t="s">
        <v>140</v>
      </c>
      <c r="C33" s="86" t="s">
        <v>66</v>
      </c>
      <c r="D33" s="217" t="s">
        <v>357</v>
      </c>
      <c r="E33" s="71">
        <f>0</f>
        <v>0</v>
      </c>
      <c r="F33" s="40">
        <f>0</f>
        <v>0</v>
      </c>
      <c r="G33" s="40">
        <f>0</f>
        <v>0</v>
      </c>
      <c r="H33" s="41">
        <f>0</f>
        <v>0</v>
      </c>
      <c r="I33" s="42">
        <f>0</f>
        <v>0</v>
      </c>
      <c r="J33" s="43">
        <f>0</f>
        <v>0</v>
      </c>
      <c r="K33" s="43">
        <f>0</f>
        <v>0</v>
      </c>
      <c r="L33" s="43">
        <f>0</f>
        <v>0</v>
      </c>
      <c r="M33" s="43">
        <f>0</f>
        <v>0</v>
      </c>
      <c r="N33" s="43">
        <f>0</f>
        <v>0</v>
      </c>
      <c r="O33" s="43">
        <f>0</f>
        <v>0</v>
      </c>
      <c r="P33" s="43">
        <f>0</f>
        <v>0</v>
      </c>
      <c r="Q33" s="43">
        <f>0</f>
        <v>0</v>
      </c>
    </row>
    <row r="34" spans="1:18" outlineLevel="3">
      <c r="A34" s="232" t="s">
        <v>28</v>
      </c>
      <c r="B34" s="35" t="s">
        <v>67</v>
      </c>
      <c r="C34" s="86" t="s">
        <v>68</v>
      </c>
      <c r="D34" s="218" t="s">
        <v>479</v>
      </c>
      <c r="E34" s="71">
        <f>0</f>
        <v>0</v>
      </c>
      <c r="F34" s="40">
        <f>0</f>
        <v>0</v>
      </c>
      <c r="G34" s="40">
        <f>0</f>
        <v>0</v>
      </c>
      <c r="H34" s="41">
        <f>0</f>
        <v>0</v>
      </c>
      <c r="I34" s="42">
        <f>0</f>
        <v>0</v>
      </c>
      <c r="J34" s="43">
        <f>0</f>
        <v>0</v>
      </c>
      <c r="K34" s="43">
        <f>0</f>
        <v>0</v>
      </c>
      <c r="L34" s="43">
        <f>0</f>
        <v>0</v>
      </c>
      <c r="M34" s="43">
        <f>0</f>
        <v>0</v>
      </c>
      <c r="N34" s="43">
        <f>0</f>
        <v>0</v>
      </c>
      <c r="O34" s="43">
        <f>0</f>
        <v>0</v>
      </c>
      <c r="P34" s="43">
        <f>0</f>
        <v>0</v>
      </c>
      <c r="Q34" s="43">
        <f>0</f>
        <v>0</v>
      </c>
    </row>
    <row r="35" spans="1:18" outlineLevel="2">
      <c r="A35" s="232" t="s">
        <v>28</v>
      </c>
      <c r="B35" s="35" t="s">
        <v>141</v>
      </c>
      <c r="C35" s="86" t="s">
        <v>69</v>
      </c>
      <c r="D35" s="217" t="s">
        <v>356</v>
      </c>
      <c r="E35" s="71">
        <f>627720.4</f>
        <v>627720.4</v>
      </c>
      <c r="F35" s="40">
        <f>268964.28</f>
        <v>268964.28000000003</v>
      </c>
      <c r="G35" s="40">
        <f>411991</f>
        <v>411991</v>
      </c>
      <c r="H35" s="41">
        <f>411991.78</f>
        <v>411991.78</v>
      </c>
      <c r="I35" s="42">
        <f>260000</f>
        <v>260000</v>
      </c>
      <c r="J35" s="43">
        <f>0</f>
        <v>0</v>
      </c>
      <c r="K35" s="43">
        <f>0</f>
        <v>0</v>
      </c>
      <c r="L35" s="43">
        <f>0</f>
        <v>0</v>
      </c>
      <c r="M35" s="43">
        <f>0</f>
        <v>0</v>
      </c>
      <c r="N35" s="43">
        <f>0</f>
        <v>0</v>
      </c>
      <c r="O35" s="43">
        <f>0</f>
        <v>0</v>
      </c>
      <c r="P35" s="43">
        <f>0</f>
        <v>0</v>
      </c>
      <c r="Q35" s="43">
        <f>0</f>
        <v>0</v>
      </c>
    </row>
    <row r="36" spans="1:18" outlineLevel="3">
      <c r="A36" s="232" t="s">
        <v>28</v>
      </c>
      <c r="B36" s="35" t="s">
        <v>70</v>
      </c>
      <c r="C36" s="86" t="s">
        <v>71</v>
      </c>
      <c r="D36" s="218" t="s">
        <v>479</v>
      </c>
      <c r="E36" s="71">
        <f>53430.48</f>
        <v>53430.48</v>
      </c>
      <c r="F36" s="40">
        <f>0</f>
        <v>0</v>
      </c>
      <c r="G36" s="40">
        <f>75040</f>
        <v>75040</v>
      </c>
      <c r="H36" s="41">
        <f>0</f>
        <v>0</v>
      </c>
      <c r="I36" s="42">
        <f>0</f>
        <v>0</v>
      </c>
      <c r="J36" s="43">
        <f>0</f>
        <v>0</v>
      </c>
      <c r="K36" s="43">
        <f>0</f>
        <v>0</v>
      </c>
      <c r="L36" s="43">
        <f>0</f>
        <v>0</v>
      </c>
      <c r="M36" s="43">
        <f>0</f>
        <v>0</v>
      </c>
      <c r="N36" s="43">
        <f>0</f>
        <v>0</v>
      </c>
      <c r="O36" s="43">
        <f>0</f>
        <v>0</v>
      </c>
      <c r="P36" s="43">
        <f>0</f>
        <v>0</v>
      </c>
      <c r="Q36" s="43">
        <f>0</f>
        <v>0</v>
      </c>
    </row>
    <row r="37" spans="1:18" outlineLevel="2">
      <c r="A37" s="232" t="s">
        <v>28</v>
      </c>
      <c r="B37" s="35" t="s">
        <v>142</v>
      </c>
      <c r="C37" s="86" t="s">
        <v>72</v>
      </c>
      <c r="D37" s="217" t="s">
        <v>480</v>
      </c>
      <c r="E37" s="71">
        <f>1750000</f>
        <v>1750000</v>
      </c>
      <c r="F37" s="40">
        <f>0</f>
        <v>0</v>
      </c>
      <c r="G37" s="40">
        <f>1268067</f>
        <v>1268067</v>
      </c>
      <c r="H37" s="41">
        <f>1110000</f>
        <v>1110000</v>
      </c>
      <c r="I37" s="42">
        <f>869834</f>
        <v>869834</v>
      </c>
      <c r="J37" s="43">
        <f>0</f>
        <v>0</v>
      </c>
      <c r="K37" s="43">
        <f>0</f>
        <v>0</v>
      </c>
      <c r="L37" s="43">
        <f>0</f>
        <v>0</v>
      </c>
      <c r="M37" s="43">
        <f>0</f>
        <v>0</v>
      </c>
      <c r="N37" s="43">
        <f>0</f>
        <v>0</v>
      </c>
      <c r="O37" s="43">
        <f>0</f>
        <v>0</v>
      </c>
      <c r="P37" s="43">
        <f>0</f>
        <v>0</v>
      </c>
      <c r="Q37" s="43">
        <f>0</f>
        <v>0</v>
      </c>
    </row>
    <row r="38" spans="1:18" outlineLevel="3">
      <c r="A38" s="232" t="s">
        <v>28</v>
      </c>
      <c r="B38" s="35" t="s">
        <v>73</v>
      </c>
      <c r="C38" s="86" t="s">
        <v>71</v>
      </c>
      <c r="D38" s="218" t="s">
        <v>479</v>
      </c>
      <c r="E38" s="71">
        <f>1050000</f>
        <v>1050000</v>
      </c>
      <c r="F38" s="40">
        <f>0</f>
        <v>0</v>
      </c>
      <c r="G38" s="40">
        <f>1268067</f>
        <v>1268067</v>
      </c>
      <c r="H38" s="41">
        <f>1110000</f>
        <v>1110000</v>
      </c>
      <c r="I38" s="42">
        <f>657213</f>
        <v>657213</v>
      </c>
      <c r="J38" s="43">
        <f>0</f>
        <v>0</v>
      </c>
      <c r="K38" s="43">
        <f>0</f>
        <v>0</v>
      </c>
      <c r="L38" s="43">
        <f>0</f>
        <v>0</v>
      </c>
      <c r="M38" s="43">
        <f>0</f>
        <v>0</v>
      </c>
      <c r="N38" s="43">
        <f>0</f>
        <v>0</v>
      </c>
      <c r="O38" s="43">
        <f>0</f>
        <v>0</v>
      </c>
      <c r="P38" s="43">
        <f>0</f>
        <v>0</v>
      </c>
      <c r="Q38" s="43">
        <f>0</f>
        <v>0</v>
      </c>
    </row>
    <row r="39" spans="1:18" outlineLevel="2">
      <c r="A39" s="232" t="s">
        <v>28</v>
      </c>
      <c r="B39" s="35" t="s">
        <v>143</v>
      </c>
      <c r="C39" s="86" t="s">
        <v>74</v>
      </c>
      <c r="D39" s="217" t="s">
        <v>74</v>
      </c>
      <c r="E39" s="71">
        <f>0</f>
        <v>0</v>
      </c>
      <c r="F39" s="40">
        <f>0</f>
        <v>0</v>
      </c>
      <c r="G39" s="40">
        <f>0</f>
        <v>0</v>
      </c>
      <c r="H39" s="41">
        <f>0</f>
        <v>0</v>
      </c>
      <c r="I39" s="42">
        <f>0</f>
        <v>0</v>
      </c>
      <c r="J39" s="43">
        <f>0</f>
        <v>0</v>
      </c>
      <c r="K39" s="43">
        <f>0</f>
        <v>0</v>
      </c>
      <c r="L39" s="43">
        <f>0</f>
        <v>0</v>
      </c>
      <c r="M39" s="43">
        <f>0</f>
        <v>0</v>
      </c>
      <c r="N39" s="43">
        <f>0</f>
        <v>0</v>
      </c>
      <c r="O39" s="43">
        <f>0</f>
        <v>0</v>
      </c>
      <c r="P39" s="43">
        <f>0</f>
        <v>0</v>
      </c>
      <c r="Q39" s="43">
        <f>0</f>
        <v>0</v>
      </c>
    </row>
    <row r="40" spans="1:18" outlineLevel="3">
      <c r="A40" s="232" t="s">
        <v>28</v>
      </c>
      <c r="B40" s="35" t="s">
        <v>75</v>
      </c>
      <c r="C40" s="86" t="s">
        <v>71</v>
      </c>
      <c r="D40" s="218" t="s">
        <v>479</v>
      </c>
      <c r="E40" s="71">
        <f>0</f>
        <v>0</v>
      </c>
      <c r="F40" s="40">
        <f>0</f>
        <v>0</v>
      </c>
      <c r="G40" s="40">
        <f>0</f>
        <v>0</v>
      </c>
      <c r="H40" s="41">
        <f>0</f>
        <v>0</v>
      </c>
      <c r="I40" s="42">
        <f>0</f>
        <v>0</v>
      </c>
      <c r="J40" s="43">
        <f>0</f>
        <v>0</v>
      </c>
      <c r="K40" s="43">
        <f>0</f>
        <v>0</v>
      </c>
      <c r="L40" s="43">
        <f>0</f>
        <v>0</v>
      </c>
      <c r="M40" s="43">
        <f>0</f>
        <v>0</v>
      </c>
      <c r="N40" s="43">
        <f>0</f>
        <v>0</v>
      </c>
      <c r="O40" s="43">
        <f>0</f>
        <v>0</v>
      </c>
      <c r="P40" s="43">
        <f>0</f>
        <v>0</v>
      </c>
      <c r="Q40" s="43">
        <f>0</f>
        <v>0</v>
      </c>
    </row>
    <row r="41" spans="1:18" ht="15" outlineLevel="1">
      <c r="A41" s="232" t="s">
        <v>28</v>
      </c>
      <c r="B41" s="34">
        <v>5</v>
      </c>
      <c r="C41" s="289" t="s">
        <v>76</v>
      </c>
      <c r="D41" s="216" t="s">
        <v>76</v>
      </c>
      <c r="E41" s="70">
        <f>1005325.64</f>
        <v>1005325.64</v>
      </c>
      <c r="F41" s="36">
        <f>946446.93</f>
        <v>946446.93</v>
      </c>
      <c r="G41" s="36">
        <f>336951</f>
        <v>336951</v>
      </c>
      <c r="H41" s="37">
        <f>336950.28</f>
        <v>336950.28</v>
      </c>
      <c r="I41" s="38">
        <f>472621</f>
        <v>472621</v>
      </c>
      <c r="J41" s="39">
        <f>537692</f>
        <v>537692</v>
      </c>
      <c r="K41" s="39">
        <f>518457</f>
        <v>518457</v>
      </c>
      <c r="L41" s="39">
        <f>450000</f>
        <v>450000</v>
      </c>
      <c r="M41" s="39">
        <f>350000</f>
        <v>350000</v>
      </c>
      <c r="N41" s="39">
        <f>300000</f>
        <v>300000</v>
      </c>
      <c r="O41" s="39">
        <f>250000</f>
        <v>250000</v>
      </c>
      <c r="P41" s="39">
        <f>100000</f>
        <v>100000</v>
      </c>
      <c r="Q41" s="39">
        <f>38333.15</f>
        <v>38333.15</v>
      </c>
      <c r="R41" s="32"/>
    </row>
    <row r="42" spans="1:18" outlineLevel="2">
      <c r="A42" s="232" t="s">
        <v>28</v>
      </c>
      <c r="B42" s="35" t="s">
        <v>144</v>
      </c>
      <c r="C42" s="86" t="s">
        <v>77</v>
      </c>
      <c r="D42" s="217" t="s">
        <v>478</v>
      </c>
      <c r="E42" s="71">
        <f>1005325.64</f>
        <v>1005325.64</v>
      </c>
      <c r="F42" s="40">
        <f>946446.93</f>
        <v>946446.93</v>
      </c>
      <c r="G42" s="40">
        <f>336951</f>
        <v>336951</v>
      </c>
      <c r="H42" s="41">
        <f>336950.28</f>
        <v>336950.28</v>
      </c>
      <c r="I42" s="42">
        <f>472621</f>
        <v>472621</v>
      </c>
      <c r="J42" s="43">
        <f>537692</f>
        <v>537692</v>
      </c>
      <c r="K42" s="43">
        <f>518457</f>
        <v>518457</v>
      </c>
      <c r="L42" s="43">
        <f>450000</f>
        <v>450000</v>
      </c>
      <c r="M42" s="43">
        <f>350000</f>
        <v>350000</v>
      </c>
      <c r="N42" s="43">
        <f>300000</f>
        <v>300000</v>
      </c>
      <c r="O42" s="43">
        <f>250000</f>
        <v>250000</v>
      </c>
      <c r="P42" s="43">
        <f>100000</f>
        <v>100000</v>
      </c>
      <c r="Q42" s="43">
        <f>38333.15</f>
        <v>38333.15</v>
      </c>
    </row>
    <row r="43" spans="1:18" ht="24" outlineLevel="3">
      <c r="A43" s="232" t="s">
        <v>28</v>
      </c>
      <c r="B43" s="35" t="s">
        <v>78</v>
      </c>
      <c r="C43" s="86" t="s">
        <v>370</v>
      </c>
      <c r="D43" s="218" t="s">
        <v>477</v>
      </c>
      <c r="E43" s="71">
        <f>911698</f>
        <v>911698</v>
      </c>
      <c r="F43" s="40">
        <f>304294</f>
        <v>304294</v>
      </c>
      <c r="G43" s="40">
        <f>0</f>
        <v>0</v>
      </c>
      <c r="H43" s="41">
        <f>0</f>
        <v>0</v>
      </c>
      <c r="I43" s="42">
        <f>0</f>
        <v>0</v>
      </c>
      <c r="J43" s="43">
        <f>0</f>
        <v>0</v>
      </c>
      <c r="K43" s="43">
        <f>0</f>
        <v>0</v>
      </c>
      <c r="L43" s="43">
        <f>0</f>
        <v>0</v>
      </c>
      <c r="M43" s="43">
        <f>0</f>
        <v>0</v>
      </c>
      <c r="N43" s="43">
        <f>0</f>
        <v>0</v>
      </c>
      <c r="O43" s="43">
        <f>0</f>
        <v>0</v>
      </c>
      <c r="P43" s="43">
        <f>0</f>
        <v>0</v>
      </c>
      <c r="Q43" s="43">
        <f>0</f>
        <v>0</v>
      </c>
    </row>
    <row r="44" spans="1:18" ht="24" outlineLevel="4">
      <c r="A44" s="232" t="s">
        <v>28</v>
      </c>
      <c r="B44" s="35" t="s">
        <v>79</v>
      </c>
      <c r="C44" s="86" t="s">
        <v>371</v>
      </c>
      <c r="D44" s="219" t="s">
        <v>476</v>
      </c>
      <c r="E44" s="71">
        <f>911698</f>
        <v>911698</v>
      </c>
      <c r="F44" s="40">
        <f>304294</f>
        <v>304294</v>
      </c>
      <c r="G44" s="40">
        <f>0</f>
        <v>0</v>
      </c>
      <c r="H44" s="41">
        <f>0</f>
        <v>0</v>
      </c>
      <c r="I44" s="42">
        <f>0</f>
        <v>0</v>
      </c>
      <c r="J44" s="43">
        <f>0</f>
        <v>0</v>
      </c>
      <c r="K44" s="43">
        <f>0</f>
        <v>0</v>
      </c>
      <c r="L44" s="43">
        <f>0</f>
        <v>0</v>
      </c>
      <c r="M44" s="43">
        <f>0</f>
        <v>0</v>
      </c>
      <c r="N44" s="43">
        <f>0</f>
        <v>0</v>
      </c>
      <c r="O44" s="43">
        <f>0</f>
        <v>0</v>
      </c>
      <c r="P44" s="43">
        <f>0</f>
        <v>0</v>
      </c>
      <c r="Q44" s="43">
        <f>0</f>
        <v>0</v>
      </c>
    </row>
    <row r="45" spans="1:18" s="268" customFormat="1" ht="24" outlineLevel="4">
      <c r="A45" s="274" t="s">
        <v>28</v>
      </c>
      <c r="B45" s="35" t="s">
        <v>372</v>
      </c>
      <c r="C45" s="86" t="s">
        <v>373</v>
      </c>
      <c r="D45" s="219" t="s">
        <v>475</v>
      </c>
      <c r="E45" s="71">
        <f>0</f>
        <v>0</v>
      </c>
      <c r="F45" s="40">
        <f>0</f>
        <v>0</v>
      </c>
      <c r="G45" s="40">
        <f>0</f>
        <v>0</v>
      </c>
      <c r="H45" s="41">
        <f>0</f>
        <v>0</v>
      </c>
      <c r="I45" s="42">
        <f>0</f>
        <v>0</v>
      </c>
      <c r="J45" s="43">
        <f>0</f>
        <v>0</v>
      </c>
      <c r="K45" s="43">
        <f>0</f>
        <v>0</v>
      </c>
      <c r="L45" s="43">
        <f>0</f>
        <v>0</v>
      </c>
      <c r="M45" s="43">
        <f>0</f>
        <v>0</v>
      </c>
      <c r="N45" s="43">
        <f>0</f>
        <v>0</v>
      </c>
      <c r="O45" s="43">
        <f>0</f>
        <v>0</v>
      </c>
      <c r="P45" s="43">
        <f>0</f>
        <v>0</v>
      </c>
      <c r="Q45" s="43">
        <f>0</f>
        <v>0</v>
      </c>
    </row>
    <row r="46" spans="1:18" s="268" customFormat="1" ht="24" outlineLevel="4">
      <c r="A46" s="274" t="s">
        <v>28</v>
      </c>
      <c r="B46" s="35" t="s">
        <v>374</v>
      </c>
      <c r="C46" s="86" t="s">
        <v>375</v>
      </c>
      <c r="D46" s="219" t="s">
        <v>474</v>
      </c>
      <c r="E46" s="71">
        <f>0</f>
        <v>0</v>
      </c>
      <c r="F46" s="40">
        <f>0</f>
        <v>0</v>
      </c>
      <c r="G46" s="40">
        <f>0</f>
        <v>0</v>
      </c>
      <c r="H46" s="41">
        <f>0</f>
        <v>0</v>
      </c>
      <c r="I46" s="42">
        <f>0</f>
        <v>0</v>
      </c>
      <c r="J46" s="43">
        <f>0</f>
        <v>0</v>
      </c>
      <c r="K46" s="43">
        <f>0</f>
        <v>0</v>
      </c>
      <c r="L46" s="43">
        <f>0</f>
        <v>0</v>
      </c>
      <c r="M46" s="43">
        <f>0</f>
        <v>0</v>
      </c>
      <c r="N46" s="43">
        <f>0</f>
        <v>0</v>
      </c>
      <c r="O46" s="43">
        <f>0</f>
        <v>0</v>
      </c>
      <c r="P46" s="43">
        <f>0</f>
        <v>0</v>
      </c>
      <c r="Q46" s="43">
        <f>0</f>
        <v>0</v>
      </c>
    </row>
    <row r="47" spans="1:18" outlineLevel="2">
      <c r="B47" s="35" t="s">
        <v>145</v>
      </c>
      <c r="C47" s="86" t="s">
        <v>80</v>
      </c>
      <c r="D47" s="217" t="s">
        <v>80</v>
      </c>
      <c r="E47" s="71">
        <f>0</f>
        <v>0</v>
      </c>
      <c r="F47" s="40">
        <f>0</f>
        <v>0</v>
      </c>
      <c r="G47" s="40">
        <f>0</f>
        <v>0</v>
      </c>
      <c r="H47" s="41">
        <f>0</f>
        <v>0</v>
      </c>
      <c r="I47" s="42">
        <f>0</f>
        <v>0</v>
      </c>
      <c r="J47" s="43">
        <f>0</f>
        <v>0</v>
      </c>
      <c r="K47" s="43">
        <f>0</f>
        <v>0</v>
      </c>
      <c r="L47" s="43">
        <f>0</f>
        <v>0</v>
      </c>
      <c r="M47" s="43">
        <f>0</f>
        <v>0</v>
      </c>
      <c r="N47" s="43">
        <f>0</f>
        <v>0</v>
      </c>
      <c r="O47" s="43">
        <f>0</f>
        <v>0</v>
      </c>
      <c r="P47" s="43">
        <f>0</f>
        <v>0</v>
      </c>
      <c r="Q47" s="43">
        <f>0</f>
        <v>0</v>
      </c>
    </row>
    <row r="48" spans="1:18" ht="15" outlineLevel="1">
      <c r="A48" s="232" t="s">
        <v>28</v>
      </c>
      <c r="B48" s="34">
        <v>6</v>
      </c>
      <c r="C48" s="289" t="s">
        <v>25</v>
      </c>
      <c r="D48" s="216" t="s">
        <v>25</v>
      </c>
      <c r="E48" s="70">
        <f>2320666.36</f>
        <v>2320666.36</v>
      </c>
      <c r="F48" s="36">
        <f>1374219.43</f>
        <v>1374219.43</v>
      </c>
      <c r="G48" s="36">
        <f>2305335.43</f>
        <v>2305335.4300000002</v>
      </c>
      <c r="H48" s="37">
        <f>2147269.15</f>
        <v>2147269.15</v>
      </c>
      <c r="I48" s="38">
        <f>2544482.15</f>
        <v>2544482.15</v>
      </c>
      <c r="J48" s="39">
        <f>2006790.15</f>
        <v>2006790.15</v>
      </c>
      <c r="K48" s="39">
        <f>1488333.15</f>
        <v>1488333.15</v>
      </c>
      <c r="L48" s="39">
        <f>1038333.15</f>
        <v>1038333.15</v>
      </c>
      <c r="M48" s="39">
        <f>688333.15</f>
        <v>688333.15</v>
      </c>
      <c r="N48" s="39">
        <f>388333.15</f>
        <v>388333.15</v>
      </c>
      <c r="O48" s="39">
        <f>138333.15</f>
        <v>138333.15</v>
      </c>
      <c r="P48" s="39">
        <f>38333.15</f>
        <v>38333.15</v>
      </c>
      <c r="Q48" s="39">
        <f>0</f>
        <v>0</v>
      </c>
      <c r="R48" s="32"/>
    </row>
    <row r="49" spans="1:18" ht="36" outlineLevel="1">
      <c r="B49" s="34">
        <v>7</v>
      </c>
      <c r="C49" s="289" t="s">
        <v>81</v>
      </c>
      <c r="D49" s="216" t="s">
        <v>81</v>
      </c>
      <c r="E49" s="70">
        <f>0</f>
        <v>0</v>
      </c>
      <c r="F49" s="36">
        <f>0</f>
        <v>0</v>
      </c>
      <c r="G49" s="36">
        <f>0</f>
        <v>0</v>
      </c>
      <c r="H49" s="37">
        <f>0</f>
        <v>0</v>
      </c>
      <c r="I49" s="38">
        <f>0</f>
        <v>0</v>
      </c>
      <c r="J49" s="39">
        <f>0</f>
        <v>0</v>
      </c>
      <c r="K49" s="39">
        <f>0</f>
        <v>0</v>
      </c>
      <c r="L49" s="39">
        <f>0</f>
        <v>0</v>
      </c>
      <c r="M49" s="39">
        <f>0</f>
        <v>0</v>
      </c>
      <c r="N49" s="39">
        <f>0</f>
        <v>0</v>
      </c>
      <c r="O49" s="39">
        <f>0</f>
        <v>0</v>
      </c>
      <c r="P49" s="39">
        <f>0</f>
        <v>0</v>
      </c>
      <c r="Q49" s="39">
        <f>0</f>
        <v>0</v>
      </c>
      <c r="R49" s="32"/>
    </row>
    <row r="50" spans="1:18" ht="15" outlineLevel="1">
      <c r="B50" s="34">
        <v>8</v>
      </c>
      <c r="C50" s="289" t="s">
        <v>146</v>
      </c>
      <c r="D50" s="216" t="s">
        <v>146</v>
      </c>
      <c r="E50" s="73" t="s">
        <v>28</v>
      </c>
      <c r="F50" s="50" t="s">
        <v>28</v>
      </c>
      <c r="G50" s="50" t="s">
        <v>28</v>
      </c>
      <c r="H50" s="51" t="s">
        <v>28</v>
      </c>
      <c r="I50" s="52" t="s">
        <v>28</v>
      </c>
      <c r="J50" s="53" t="s">
        <v>28</v>
      </c>
      <c r="K50" s="53" t="s">
        <v>28</v>
      </c>
      <c r="L50" s="53" t="s">
        <v>28</v>
      </c>
      <c r="M50" s="53" t="s">
        <v>28</v>
      </c>
      <c r="N50" s="53" t="s">
        <v>28</v>
      </c>
      <c r="O50" s="53" t="s">
        <v>28</v>
      </c>
      <c r="P50" s="53" t="s">
        <v>28</v>
      </c>
      <c r="Q50" s="53" t="s">
        <v>28</v>
      </c>
      <c r="R50" s="32"/>
    </row>
    <row r="51" spans="1:18" outlineLevel="2">
      <c r="B51" s="35" t="s">
        <v>147</v>
      </c>
      <c r="C51" s="86" t="s">
        <v>82</v>
      </c>
      <c r="D51" s="217" t="s">
        <v>473</v>
      </c>
      <c r="E51" s="71">
        <f>459213.52</f>
        <v>459213.52</v>
      </c>
      <c r="F51" s="40">
        <f>1151023.1</f>
        <v>1151023.1000000001</v>
      </c>
      <c r="G51" s="40">
        <f>136005.45</f>
        <v>136005.45000000001</v>
      </c>
      <c r="H51" s="41">
        <f>620587.46</f>
        <v>620587.46</v>
      </c>
      <c r="I51" s="42">
        <f>249751</f>
        <v>249751</v>
      </c>
      <c r="J51" s="43">
        <f>770819</f>
        <v>770819</v>
      </c>
      <c r="K51" s="43">
        <f>870072</f>
        <v>870072</v>
      </c>
      <c r="L51" s="43">
        <f>708917</f>
        <v>708917</v>
      </c>
      <c r="M51" s="43">
        <f>720906</f>
        <v>720906</v>
      </c>
      <c r="N51" s="43">
        <f>747490</f>
        <v>747490</v>
      </c>
      <c r="O51" s="43">
        <f>777594</f>
        <v>777594</v>
      </c>
      <c r="P51" s="43">
        <f>813383</f>
        <v>813383</v>
      </c>
      <c r="Q51" s="43">
        <f>853028</f>
        <v>853028</v>
      </c>
    </row>
    <row r="52" spans="1:18" ht="24" outlineLevel="2">
      <c r="B52" s="35" t="s">
        <v>148</v>
      </c>
      <c r="C52" s="86" t="s">
        <v>378</v>
      </c>
      <c r="D52" s="217" t="s">
        <v>472</v>
      </c>
      <c r="E52" s="71">
        <f>1086933.92</f>
        <v>1086933.92</v>
      </c>
      <c r="F52" s="40">
        <f>1419987.38</f>
        <v>1419987.38</v>
      </c>
      <c r="G52" s="40">
        <f>547996.45</f>
        <v>547996.44999999995</v>
      </c>
      <c r="H52" s="41">
        <f>1032579.24</f>
        <v>1032579.24</v>
      </c>
      <c r="I52" s="42">
        <f>509751</f>
        <v>509751</v>
      </c>
      <c r="J52" s="43">
        <f>770819</f>
        <v>770819</v>
      </c>
      <c r="K52" s="43">
        <f>870072</f>
        <v>870072</v>
      </c>
      <c r="L52" s="43">
        <f>708917</f>
        <v>708917</v>
      </c>
      <c r="M52" s="43">
        <f>720906</f>
        <v>720906</v>
      </c>
      <c r="N52" s="43">
        <f>747490</f>
        <v>747490</v>
      </c>
      <c r="O52" s="43">
        <f>777594</f>
        <v>777594</v>
      </c>
      <c r="P52" s="43">
        <f>813383</f>
        <v>813383</v>
      </c>
      <c r="Q52" s="43">
        <f>853028</f>
        <v>853028</v>
      </c>
    </row>
    <row r="53" spans="1:18" ht="15" outlineLevel="1">
      <c r="A53" s="232" t="s">
        <v>28</v>
      </c>
      <c r="B53" s="34">
        <v>9</v>
      </c>
      <c r="C53" s="289" t="s">
        <v>149</v>
      </c>
      <c r="D53" s="216" t="s">
        <v>149</v>
      </c>
      <c r="E53" s="73" t="s">
        <v>28</v>
      </c>
      <c r="F53" s="50" t="s">
        <v>28</v>
      </c>
      <c r="G53" s="50" t="s">
        <v>28</v>
      </c>
      <c r="H53" s="51" t="s">
        <v>28</v>
      </c>
      <c r="I53" s="52" t="s">
        <v>28</v>
      </c>
      <c r="J53" s="53" t="s">
        <v>28</v>
      </c>
      <c r="K53" s="53" t="s">
        <v>28</v>
      </c>
      <c r="L53" s="53" t="s">
        <v>28</v>
      </c>
      <c r="M53" s="53" t="s">
        <v>28</v>
      </c>
      <c r="N53" s="53" t="s">
        <v>28</v>
      </c>
      <c r="O53" s="53" t="s">
        <v>28</v>
      </c>
      <c r="P53" s="53" t="s">
        <v>28</v>
      </c>
      <c r="Q53" s="53" t="s">
        <v>28</v>
      </c>
      <c r="R53" s="32"/>
    </row>
    <row r="54" spans="1:18" ht="37.5" customHeight="1" outlineLevel="2">
      <c r="A54" s="232" t="s">
        <v>28</v>
      </c>
      <c r="B54" s="35" t="s">
        <v>150</v>
      </c>
      <c r="C54" s="86" t="s">
        <v>432</v>
      </c>
      <c r="D54" s="217" t="s">
        <v>439</v>
      </c>
      <c r="E54" s="72">
        <f>0.1076</f>
        <v>0.1076</v>
      </c>
      <c r="F54" s="46">
        <f>0.1043</f>
        <v>0.1043</v>
      </c>
      <c r="G54" s="46">
        <f>0.0473</f>
        <v>4.7300000000000002E-2</v>
      </c>
      <c r="H54" s="47">
        <f>0.0456</f>
        <v>4.5600000000000002E-2</v>
      </c>
      <c r="I54" s="48">
        <f>0.0557</f>
        <v>5.57E-2</v>
      </c>
      <c r="J54" s="49">
        <f>0.0776</f>
        <v>7.7600000000000002E-2</v>
      </c>
      <c r="K54" s="49">
        <f>0.0718</f>
        <v>7.1800000000000003E-2</v>
      </c>
      <c r="L54" s="49">
        <f>0.0621</f>
        <v>6.2100000000000002E-2</v>
      </c>
      <c r="M54" s="49">
        <f>0.048</f>
        <v>4.8000000000000001E-2</v>
      </c>
      <c r="N54" s="49">
        <f>0.0396</f>
        <v>3.9600000000000003E-2</v>
      </c>
      <c r="O54" s="49">
        <f>0.0312</f>
        <v>3.1199999999999999E-2</v>
      </c>
      <c r="P54" s="49">
        <f>0.0127</f>
        <v>1.2699999999999999E-2</v>
      </c>
      <c r="Q54" s="49">
        <f>0.0046</f>
        <v>4.5999999999999999E-3</v>
      </c>
    </row>
    <row r="55" spans="1:18" ht="36" customHeight="1" outlineLevel="2">
      <c r="A55" s="232" t="s">
        <v>28</v>
      </c>
      <c r="B55" s="35" t="s">
        <v>151</v>
      </c>
      <c r="C55" s="86" t="s">
        <v>433</v>
      </c>
      <c r="D55" s="217" t="s">
        <v>440</v>
      </c>
      <c r="E55" s="72">
        <f>0.0134</f>
        <v>1.34E-2</v>
      </c>
      <c r="F55" s="46">
        <f>0.0743</f>
        <v>7.4300000000000005E-2</v>
      </c>
      <c r="G55" s="46">
        <f>0.0473</f>
        <v>4.7300000000000002E-2</v>
      </c>
      <c r="H55" s="47">
        <f>0.0448</f>
        <v>4.48E-2</v>
      </c>
      <c r="I55" s="48">
        <f>0.053</f>
        <v>5.2999999999999999E-2</v>
      </c>
      <c r="J55" s="49">
        <f>0.0747</f>
        <v>7.4700000000000003E-2</v>
      </c>
      <c r="K55" s="49">
        <f>0.0695</f>
        <v>6.9500000000000006E-2</v>
      </c>
      <c r="L55" s="49">
        <f>0.0604</f>
        <v>6.0400000000000002E-2</v>
      </c>
      <c r="M55" s="49">
        <f>0.0468</f>
        <v>4.6800000000000001E-2</v>
      </c>
      <c r="N55" s="49">
        <f>0.0389</f>
        <v>3.8899999999999997E-2</v>
      </c>
      <c r="O55" s="49">
        <f>0.031</f>
        <v>3.1E-2</v>
      </c>
      <c r="P55" s="49">
        <f>0.0127</f>
        <v>1.2699999999999999E-2</v>
      </c>
      <c r="Q55" s="49">
        <f>0.0046</f>
        <v>4.5999999999999999E-3</v>
      </c>
    </row>
    <row r="56" spans="1:18" ht="36" outlineLevel="2">
      <c r="A56" s="232" t="s">
        <v>28</v>
      </c>
      <c r="B56" s="35" t="s">
        <v>152</v>
      </c>
      <c r="C56" s="86" t="s">
        <v>383</v>
      </c>
      <c r="D56" s="217" t="s">
        <v>441</v>
      </c>
      <c r="E56" s="71">
        <f>0</f>
        <v>0</v>
      </c>
      <c r="F56" s="40">
        <f>0</f>
        <v>0</v>
      </c>
      <c r="G56" s="40">
        <f>0</f>
        <v>0</v>
      </c>
      <c r="H56" s="41">
        <f>0</f>
        <v>0</v>
      </c>
      <c r="I56" s="42">
        <f>0</f>
        <v>0</v>
      </c>
      <c r="J56" s="43">
        <f>0</f>
        <v>0</v>
      </c>
      <c r="K56" s="43">
        <f>0</f>
        <v>0</v>
      </c>
      <c r="L56" s="43">
        <f>0</f>
        <v>0</v>
      </c>
      <c r="M56" s="43">
        <f>0</f>
        <v>0</v>
      </c>
      <c r="N56" s="43">
        <f>0</f>
        <v>0</v>
      </c>
      <c r="O56" s="43">
        <f>0</f>
        <v>0</v>
      </c>
      <c r="P56" s="43">
        <f>0</f>
        <v>0</v>
      </c>
      <c r="Q56" s="43">
        <f>0</f>
        <v>0</v>
      </c>
    </row>
    <row r="57" spans="1:18" ht="37.5" customHeight="1" outlineLevel="2">
      <c r="A57" s="232" t="s">
        <v>28</v>
      </c>
      <c r="B57" s="35" t="s">
        <v>153</v>
      </c>
      <c r="C57" s="86" t="s">
        <v>434</v>
      </c>
      <c r="D57" s="217" t="s">
        <v>442</v>
      </c>
      <c r="E57" s="72">
        <f>0.0134</f>
        <v>1.34E-2</v>
      </c>
      <c r="F57" s="46">
        <f>0.0743</f>
        <v>7.4300000000000005E-2</v>
      </c>
      <c r="G57" s="46">
        <f>0.0473</f>
        <v>4.7300000000000002E-2</v>
      </c>
      <c r="H57" s="47">
        <f>0.0448</f>
        <v>4.48E-2</v>
      </c>
      <c r="I57" s="48">
        <f>0.053</f>
        <v>5.2999999999999999E-2</v>
      </c>
      <c r="J57" s="49">
        <f>0.0747</f>
        <v>7.4700000000000003E-2</v>
      </c>
      <c r="K57" s="49">
        <f>0.0695</f>
        <v>6.9500000000000006E-2</v>
      </c>
      <c r="L57" s="49">
        <f>0.0604</f>
        <v>6.0400000000000002E-2</v>
      </c>
      <c r="M57" s="49">
        <f>0.0468</f>
        <v>4.6800000000000001E-2</v>
      </c>
      <c r="N57" s="49">
        <f>0.0389</f>
        <v>3.8899999999999997E-2</v>
      </c>
      <c r="O57" s="49">
        <f>0.031</f>
        <v>3.1E-2</v>
      </c>
      <c r="P57" s="49">
        <f>0.0127</f>
        <v>1.2699999999999999E-2</v>
      </c>
      <c r="Q57" s="49">
        <f>0.0046</f>
        <v>4.5999999999999999E-3</v>
      </c>
    </row>
    <row r="58" spans="1:18" ht="36" outlineLevel="2">
      <c r="A58" s="232" t="s">
        <v>28</v>
      </c>
      <c r="B58" s="85" t="s">
        <v>154</v>
      </c>
      <c r="C58" s="86" t="s">
        <v>387</v>
      </c>
      <c r="D58" s="296" t="s">
        <v>438</v>
      </c>
      <c r="E58" s="72">
        <f t="shared" ref="E58:Q58" si="1">+IF(AND(E9&gt;=2013,E9&lt;=2018),IF(E10&lt;&gt;0,(E11+E19-E22+E25)/E10,0),IF(E10&lt;&gt;0,(E11+E19-E22)/E10,0))</f>
        <v>6.3773247291859486E-2</v>
      </c>
      <c r="F58" s="46">
        <f t="shared" si="1"/>
        <v>0.11502976646158244</v>
      </c>
      <c r="G58" s="46">
        <f t="shared" si="1"/>
        <v>6.8171487200996736E-2</v>
      </c>
      <c r="H58" s="47">
        <f t="shared" si="1"/>
        <v>0.11852446658311075</v>
      </c>
      <c r="I58" s="48">
        <f t="shared" si="1"/>
        <v>4.4727192937600128E-2</v>
      </c>
      <c r="J58" s="49">
        <f t="shared" si="1"/>
        <v>9.7624631399476913E-2</v>
      </c>
      <c r="K58" s="49">
        <f t="shared" si="1"/>
        <v>0.10891604331996196</v>
      </c>
      <c r="L58" s="49">
        <f t="shared" si="1"/>
        <v>8.803122009661471E-2</v>
      </c>
      <c r="M58" s="49">
        <f t="shared" si="1"/>
        <v>8.7973213605824704E-2</v>
      </c>
      <c r="N58" s="49">
        <f t="shared" si="1"/>
        <v>8.9590080645335274E-2</v>
      </c>
      <c r="O58" s="49">
        <f t="shared" si="1"/>
        <v>9.148434853782153E-2</v>
      </c>
      <c r="P58" s="49">
        <f t="shared" si="1"/>
        <v>9.3883577544619581E-2</v>
      </c>
      <c r="Q58" s="49">
        <f t="shared" si="1"/>
        <v>9.6543854766591677E-2</v>
      </c>
      <c r="R58" s="64"/>
    </row>
    <row r="59" spans="1:18" ht="36" outlineLevel="2">
      <c r="A59" s="232" t="s">
        <v>28</v>
      </c>
      <c r="B59" s="35" t="s">
        <v>155</v>
      </c>
      <c r="C59" s="86" t="s">
        <v>430</v>
      </c>
      <c r="D59" s="217" t="s">
        <v>443</v>
      </c>
      <c r="E59" s="73" t="s">
        <v>28</v>
      </c>
      <c r="F59" s="50" t="s">
        <v>28</v>
      </c>
      <c r="G59" s="50" t="s">
        <v>28</v>
      </c>
      <c r="H59" s="51" t="s">
        <v>28</v>
      </c>
      <c r="I59" s="48">
        <f>0.0823</f>
        <v>8.2299999999999998E-2</v>
      </c>
      <c r="J59" s="49">
        <f>0.076</f>
        <v>7.5999999999999998E-2</v>
      </c>
      <c r="K59" s="49">
        <f>0.0702</f>
        <v>7.0199999999999999E-2</v>
      </c>
      <c r="L59" s="49">
        <f>0.0837</f>
        <v>8.3699999999999997E-2</v>
      </c>
      <c r="M59" s="49">
        <f>0.0982</f>
        <v>9.8199999999999996E-2</v>
      </c>
      <c r="N59" s="49">
        <f>0.095</f>
        <v>9.5000000000000001E-2</v>
      </c>
      <c r="O59" s="49">
        <f>0.0885</f>
        <v>8.8499999999999995E-2</v>
      </c>
      <c r="P59" s="49">
        <f>0.0897</f>
        <v>8.9700000000000002E-2</v>
      </c>
      <c r="Q59" s="49">
        <f>0.0917</f>
        <v>9.1700000000000004E-2</v>
      </c>
      <c r="R59" s="64"/>
    </row>
    <row r="60" spans="1:18" ht="36" outlineLevel="3">
      <c r="A60" s="232" t="s">
        <v>28</v>
      </c>
      <c r="B60" s="35" t="s">
        <v>83</v>
      </c>
      <c r="C60" s="86" t="s">
        <v>431</v>
      </c>
      <c r="D60" s="218" t="s">
        <v>444</v>
      </c>
      <c r="E60" s="73" t="s">
        <v>28</v>
      </c>
      <c r="F60" s="50" t="s">
        <v>28</v>
      </c>
      <c r="G60" s="50" t="s">
        <v>28</v>
      </c>
      <c r="H60" s="51" t="s">
        <v>28</v>
      </c>
      <c r="I60" s="48">
        <f>0.0991</f>
        <v>9.9099999999999994E-2</v>
      </c>
      <c r="J60" s="49">
        <f>0.0927</f>
        <v>9.2700000000000005E-2</v>
      </c>
      <c r="K60" s="49">
        <f>0.0869</f>
        <v>8.6900000000000005E-2</v>
      </c>
      <c r="L60" s="49">
        <f>0.0837</f>
        <v>8.3699999999999997E-2</v>
      </c>
      <c r="M60" s="49">
        <f>0.0982</f>
        <v>9.8199999999999996E-2</v>
      </c>
      <c r="N60" s="49">
        <f>0.095</f>
        <v>9.5000000000000001E-2</v>
      </c>
      <c r="O60" s="49">
        <f>0.0885</f>
        <v>8.8499999999999995E-2</v>
      </c>
      <c r="P60" s="49">
        <f>0.0897</f>
        <v>8.9700000000000002E-2</v>
      </c>
      <c r="Q60" s="49">
        <f>0.0917</f>
        <v>9.1700000000000004E-2</v>
      </c>
    </row>
    <row r="61" spans="1:18" ht="48" outlineLevel="2">
      <c r="A61" s="232" t="s">
        <v>28</v>
      </c>
      <c r="B61" s="35" t="s">
        <v>156</v>
      </c>
      <c r="C61" s="86" t="s">
        <v>392</v>
      </c>
      <c r="D61" s="217" t="s">
        <v>471</v>
      </c>
      <c r="E61" s="73" t="s">
        <v>28</v>
      </c>
      <c r="F61" s="50" t="s">
        <v>28</v>
      </c>
      <c r="G61" s="50" t="s">
        <v>28</v>
      </c>
      <c r="H61" s="51" t="s">
        <v>28</v>
      </c>
      <c r="I61" s="196" t="str">
        <f>IF(I57&lt;=I59,"Spełniona","Nie spełniona")</f>
        <v>Spełniona</v>
      </c>
      <c r="J61" s="197" t="str">
        <f t="shared" ref="J61:Q61" si="2">IF(J57&lt;=J59,"Spełniona","Nie spełniona")</f>
        <v>Spełniona</v>
      </c>
      <c r="K61" s="197" t="str">
        <f t="shared" si="2"/>
        <v>Spełniona</v>
      </c>
      <c r="L61" s="197" t="str">
        <f t="shared" si="2"/>
        <v>Spełniona</v>
      </c>
      <c r="M61" s="197" t="str">
        <f t="shared" si="2"/>
        <v>Spełniona</v>
      </c>
      <c r="N61" s="197" t="str">
        <f t="shared" si="2"/>
        <v>Spełniona</v>
      </c>
      <c r="O61" s="197" t="str">
        <f t="shared" si="2"/>
        <v>Spełniona</v>
      </c>
      <c r="P61" s="197" t="str">
        <f t="shared" si="2"/>
        <v>Spełniona</v>
      </c>
      <c r="Q61" s="197" t="str">
        <f t="shared" si="2"/>
        <v>Spełniona</v>
      </c>
    </row>
    <row r="62" spans="1:18" ht="48" outlineLevel="3">
      <c r="A62" s="232" t="s">
        <v>28</v>
      </c>
      <c r="B62" s="35" t="s">
        <v>84</v>
      </c>
      <c r="C62" s="86" t="s">
        <v>394</v>
      </c>
      <c r="D62" s="218" t="s">
        <v>445</v>
      </c>
      <c r="E62" s="73" t="s">
        <v>28</v>
      </c>
      <c r="F62" s="50" t="s">
        <v>28</v>
      </c>
      <c r="G62" s="50" t="s">
        <v>28</v>
      </c>
      <c r="H62" s="51" t="s">
        <v>28</v>
      </c>
      <c r="I62" s="196" t="str">
        <f>IF(I57&lt;=I60,"Spełniona","Nie spełniona")</f>
        <v>Spełniona</v>
      </c>
      <c r="J62" s="197" t="str">
        <f t="shared" ref="J62:Q62" si="3">IF(J57&lt;=J60,"Spełniona","Nie spełniona")</f>
        <v>Spełniona</v>
      </c>
      <c r="K62" s="197" t="str">
        <f t="shared" si="3"/>
        <v>Spełniona</v>
      </c>
      <c r="L62" s="197" t="str">
        <f t="shared" si="3"/>
        <v>Spełniona</v>
      </c>
      <c r="M62" s="197" t="str">
        <f t="shared" si="3"/>
        <v>Spełniona</v>
      </c>
      <c r="N62" s="197" t="str">
        <f t="shared" si="3"/>
        <v>Spełniona</v>
      </c>
      <c r="O62" s="197" t="str">
        <f t="shared" si="3"/>
        <v>Spełniona</v>
      </c>
      <c r="P62" s="197" t="str">
        <f t="shared" si="3"/>
        <v>Spełniona</v>
      </c>
      <c r="Q62" s="197" t="str">
        <f t="shared" si="3"/>
        <v>Spełniona</v>
      </c>
    </row>
    <row r="63" spans="1:18" ht="15" outlineLevel="1">
      <c r="B63" s="34">
        <v>10</v>
      </c>
      <c r="C63" s="289" t="s">
        <v>85</v>
      </c>
      <c r="D63" s="216" t="s">
        <v>85</v>
      </c>
      <c r="E63" s="70">
        <f>0</f>
        <v>0</v>
      </c>
      <c r="F63" s="36">
        <f>0</f>
        <v>0</v>
      </c>
      <c r="G63" s="36">
        <f>0</f>
        <v>0</v>
      </c>
      <c r="H63" s="37">
        <f>0</f>
        <v>0</v>
      </c>
      <c r="I63" s="38">
        <f>0</f>
        <v>0</v>
      </c>
      <c r="J63" s="39">
        <f>537692</f>
        <v>537692</v>
      </c>
      <c r="K63" s="39">
        <f>518457</f>
        <v>518457</v>
      </c>
      <c r="L63" s="39">
        <f>450000</f>
        <v>450000</v>
      </c>
      <c r="M63" s="39">
        <f>350000</f>
        <v>350000</v>
      </c>
      <c r="N63" s="39">
        <f>300000</f>
        <v>300000</v>
      </c>
      <c r="O63" s="39">
        <f>250000</f>
        <v>250000</v>
      </c>
      <c r="P63" s="39">
        <f>100000</f>
        <v>100000</v>
      </c>
      <c r="Q63" s="39">
        <f>38333.15</f>
        <v>38333.15</v>
      </c>
      <c r="R63" s="32"/>
    </row>
    <row r="64" spans="1:18" outlineLevel="2">
      <c r="B64" s="35" t="s">
        <v>157</v>
      </c>
      <c r="C64" s="86" t="s">
        <v>86</v>
      </c>
      <c r="D64" s="217" t="s">
        <v>191</v>
      </c>
      <c r="E64" s="71">
        <f>0</f>
        <v>0</v>
      </c>
      <c r="F64" s="40">
        <f>0</f>
        <v>0</v>
      </c>
      <c r="G64" s="40">
        <f>0</f>
        <v>0</v>
      </c>
      <c r="H64" s="41">
        <f>0</f>
        <v>0</v>
      </c>
      <c r="I64" s="42">
        <f>0</f>
        <v>0</v>
      </c>
      <c r="J64" s="43">
        <f>537592</f>
        <v>537592</v>
      </c>
      <c r="K64" s="43">
        <f>518457</f>
        <v>518457</v>
      </c>
      <c r="L64" s="43">
        <f>450000</f>
        <v>450000</v>
      </c>
      <c r="M64" s="43">
        <f>350000</f>
        <v>350000</v>
      </c>
      <c r="N64" s="43">
        <f>300000</f>
        <v>300000</v>
      </c>
      <c r="O64" s="43">
        <f>250000</f>
        <v>250000</v>
      </c>
      <c r="P64" s="43">
        <f>100000</f>
        <v>100000</v>
      </c>
      <c r="Q64" s="43">
        <f>38333.15</f>
        <v>38333.15</v>
      </c>
    </row>
    <row r="65" spans="2:18" ht="15" outlineLevel="1">
      <c r="B65" s="34">
        <v>11</v>
      </c>
      <c r="C65" s="289" t="s">
        <v>87</v>
      </c>
      <c r="D65" s="216" t="s">
        <v>87</v>
      </c>
      <c r="E65" s="73" t="s">
        <v>28</v>
      </c>
      <c r="F65" s="50" t="s">
        <v>28</v>
      </c>
      <c r="G65" s="50" t="s">
        <v>28</v>
      </c>
      <c r="H65" s="51" t="s">
        <v>28</v>
      </c>
      <c r="I65" s="52" t="s">
        <v>28</v>
      </c>
      <c r="J65" s="53" t="s">
        <v>28</v>
      </c>
      <c r="K65" s="53" t="s">
        <v>28</v>
      </c>
      <c r="L65" s="53" t="s">
        <v>28</v>
      </c>
      <c r="M65" s="53" t="s">
        <v>28</v>
      </c>
      <c r="N65" s="53" t="s">
        <v>28</v>
      </c>
      <c r="O65" s="53" t="s">
        <v>28</v>
      </c>
      <c r="P65" s="53" t="s">
        <v>28</v>
      </c>
      <c r="Q65" s="53" t="s">
        <v>28</v>
      </c>
      <c r="R65" s="32"/>
    </row>
    <row r="66" spans="2:18" outlineLevel="2">
      <c r="B66" s="35" t="s">
        <v>158</v>
      </c>
      <c r="C66" s="86" t="s">
        <v>88</v>
      </c>
      <c r="D66" s="217" t="s">
        <v>192</v>
      </c>
      <c r="E66" s="71">
        <f>2993214.77</f>
        <v>2993214.77</v>
      </c>
      <c r="F66" s="40">
        <f>3090382.07</f>
        <v>3090382.07</v>
      </c>
      <c r="G66" s="40">
        <f>3291255.32</f>
        <v>3291255.32</v>
      </c>
      <c r="H66" s="41">
        <f>3149222.43</f>
        <v>3149222.43</v>
      </c>
      <c r="I66" s="42">
        <f>3315301.8</f>
        <v>3315301.8</v>
      </c>
      <c r="J66" s="43">
        <f>3352879</f>
        <v>3352879</v>
      </c>
      <c r="K66" s="43">
        <f>3419937</f>
        <v>3419937</v>
      </c>
      <c r="L66" s="43">
        <f>3488336</f>
        <v>3488336</v>
      </c>
      <c r="M66" s="43">
        <f>0</f>
        <v>0</v>
      </c>
      <c r="N66" s="43">
        <f>0</f>
        <v>0</v>
      </c>
      <c r="O66" s="43">
        <f>0</f>
        <v>0</v>
      </c>
      <c r="P66" s="43">
        <f>0</f>
        <v>0</v>
      </c>
      <c r="Q66" s="43">
        <f>0</f>
        <v>0</v>
      </c>
    </row>
    <row r="67" spans="2:18" outlineLevel="2">
      <c r="B67" s="35" t="s">
        <v>159</v>
      </c>
      <c r="C67" s="86" t="s">
        <v>89</v>
      </c>
      <c r="D67" s="217" t="s">
        <v>193</v>
      </c>
      <c r="E67" s="71">
        <f>983673.41</f>
        <v>983673.41</v>
      </c>
      <c r="F67" s="40">
        <f>1059626.03</f>
        <v>1059626.03</v>
      </c>
      <c r="G67" s="40">
        <f>1140180</f>
        <v>1140180</v>
      </c>
      <c r="H67" s="41">
        <f>1120588.59</f>
        <v>1120588.5900000001</v>
      </c>
      <c r="I67" s="42">
        <f>1154984</f>
        <v>1154984</v>
      </c>
      <c r="J67" s="43">
        <f>1164603</f>
        <v>1164603</v>
      </c>
      <c r="K67" s="43">
        <f>1166149</f>
        <v>1166149</v>
      </c>
      <c r="L67" s="43">
        <f>1177811</f>
        <v>1177811</v>
      </c>
      <c r="M67" s="43">
        <f>0</f>
        <v>0</v>
      </c>
      <c r="N67" s="43">
        <f>0</f>
        <v>0</v>
      </c>
      <c r="O67" s="43">
        <f>0</f>
        <v>0</v>
      </c>
      <c r="P67" s="43">
        <f>0</f>
        <v>0</v>
      </c>
      <c r="Q67" s="43">
        <f>0</f>
        <v>0</v>
      </c>
    </row>
    <row r="68" spans="2:18" outlineLevel="2">
      <c r="B68" s="35" t="s">
        <v>160</v>
      </c>
      <c r="C68" s="86" t="s">
        <v>396</v>
      </c>
      <c r="D68" s="217" t="s">
        <v>470</v>
      </c>
      <c r="E68" s="71">
        <f>0</f>
        <v>0</v>
      </c>
      <c r="F68" s="40">
        <f>0</f>
        <v>0</v>
      </c>
      <c r="G68" s="40">
        <f>2174969</f>
        <v>2174969</v>
      </c>
      <c r="H68" s="41">
        <f>2160506.72</f>
        <v>2160506.7200000002</v>
      </c>
      <c r="I68" s="42">
        <f>1470505.19</f>
        <v>1470505.19</v>
      </c>
      <c r="J68" s="43">
        <f>70939.2</f>
        <v>70939.199999999997</v>
      </c>
      <c r="K68" s="43">
        <f>0</f>
        <v>0</v>
      </c>
      <c r="L68" s="43">
        <f>0</f>
        <v>0</v>
      </c>
      <c r="M68" s="43">
        <f>0</f>
        <v>0</v>
      </c>
      <c r="N68" s="43">
        <f>0</f>
        <v>0</v>
      </c>
      <c r="O68" s="43">
        <f>0</f>
        <v>0</v>
      </c>
      <c r="P68" s="43">
        <f>0</f>
        <v>0</v>
      </c>
      <c r="Q68" s="43">
        <f>0</f>
        <v>0</v>
      </c>
    </row>
    <row r="69" spans="2:18" outlineLevel="3">
      <c r="B69" s="35" t="s">
        <v>90</v>
      </c>
      <c r="C69" s="86" t="s">
        <v>428</v>
      </c>
      <c r="D69" s="218" t="s">
        <v>194</v>
      </c>
      <c r="E69" s="71">
        <f>0</f>
        <v>0</v>
      </c>
      <c r="F69" s="40">
        <f>0</f>
        <v>0</v>
      </c>
      <c r="G69" s="40">
        <f>9900</f>
        <v>9900</v>
      </c>
      <c r="H69" s="41">
        <f>9900</f>
        <v>9900</v>
      </c>
      <c r="I69" s="42">
        <f>101285.8</f>
        <v>101285.8</v>
      </c>
      <c r="J69" s="43">
        <f>70939.2</f>
        <v>70939.199999999997</v>
      </c>
      <c r="K69" s="43">
        <f>0</f>
        <v>0</v>
      </c>
      <c r="L69" s="43">
        <f>0</f>
        <v>0</v>
      </c>
      <c r="M69" s="43">
        <f>0</f>
        <v>0</v>
      </c>
      <c r="N69" s="43">
        <f>0</f>
        <v>0</v>
      </c>
      <c r="O69" s="43">
        <f>0</f>
        <v>0</v>
      </c>
      <c r="P69" s="43">
        <f>0</f>
        <v>0</v>
      </c>
      <c r="Q69" s="43">
        <f>0</f>
        <v>0</v>
      </c>
    </row>
    <row r="70" spans="2:18" outlineLevel="3">
      <c r="B70" s="35" t="s">
        <v>92</v>
      </c>
      <c r="C70" s="86" t="s">
        <v>429</v>
      </c>
      <c r="D70" s="218" t="s">
        <v>195</v>
      </c>
      <c r="E70" s="71">
        <f>0</f>
        <v>0</v>
      </c>
      <c r="F70" s="40">
        <f>0</f>
        <v>0</v>
      </c>
      <c r="G70" s="40">
        <f>2165069</f>
        <v>2165069</v>
      </c>
      <c r="H70" s="41">
        <f>2150606.72</f>
        <v>2150606.7200000002</v>
      </c>
      <c r="I70" s="42">
        <f>1369219.39</f>
        <v>1369219.39</v>
      </c>
      <c r="J70" s="43">
        <f>0</f>
        <v>0</v>
      </c>
      <c r="K70" s="43">
        <f>0</f>
        <v>0</v>
      </c>
      <c r="L70" s="43">
        <f>0</f>
        <v>0</v>
      </c>
      <c r="M70" s="43">
        <f>0</f>
        <v>0</v>
      </c>
      <c r="N70" s="43">
        <f>0</f>
        <v>0</v>
      </c>
      <c r="O70" s="43">
        <f>0</f>
        <v>0</v>
      </c>
      <c r="P70" s="43">
        <f>0</f>
        <v>0</v>
      </c>
      <c r="Q70" s="43">
        <f>0</f>
        <v>0</v>
      </c>
    </row>
    <row r="71" spans="2:18" outlineLevel="2">
      <c r="B71" s="35" t="s">
        <v>161</v>
      </c>
      <c r="C71" s="86" t="s">
        <v>94</v>
      </c>
      <c r="D71" s="217" t="s">
        <v>196</v>
      </c>
      <c r="E71" s="71">
        <f>1640525.13</f>
        <v>1640525.13</v>
      </c>
      <c r="F71" s="40">
        <f>935901.85</f>
        <v>935901.85</v>
      </c>
      <c r="G71" s="40">
        <f>2317470</f>
        <v>2317470</v>
      </c>
      <c r="H71" s="41">
        <f>2221796.17</f>
        <v>2221796.17</v>
      </c>
      <c r="I71" s="42">
        <f>1684800</f>
        <v>1684800</v>
      </c>
      <c r="J71" s="43">
        <f>0</f>
        <v>0</v>
      </c>
      <c r="K71" s="43">
        <f>0</f>
        <v>0</v>
      </c>
      <c r="L71" s="43">
        <f>0</f>
        <v>0</v>
      </c>
      <c r="M71" s="43">
        <f>0</f>
        <v>0</v>
      </c>
      <c r="N71" s="43">
        <f>0</f>
        <v>0</v>
      </c>
      <c r="O71" s="43">
        <f>0</f>
        <v>0</v>
      </c>
      <c r="P71" s="43">
        <f>0</f>
        <v>0</v>
      </c>
      <c r="Q71" s="43">
        <f>0</f>
        <v>0</v>
      </c>
    </row>
    <row r="72" spans="2:18" outlineLevel="2">
      <c r="B72" s="35" t="s">
        <v>162</v>
      </c>
      <c r="C72" s="86" t="s">
        <v>95</v>
      </c>
      <c r="D72" s="217" t="s">
        <v>197</v>
      </c>
      <c r="E72" s="71">
        <f>1914985.86</f>
        <v>1914985.86</v>
      </c>
      <c r="F72" s="40">
        <f>1186433.37</f>
        <v>1186433.3700000001</v>
      </c>
      <c r="G72" s="40">
        <f>912225</f>
        <v>912225</v>
      </c>
      <c r="H72" s="41">
        <f>500972.43</f>
        <v>500972.43</v>
      </c>
      <c r="I72" s="42">
        <f>1075668</f>
        <v>1075668</v>
      </c>
      <c r="J72" s="43">
        <f>0</f>
        <v>0</v>
      </c>
      <c r="K72" s="43">
        <f>0</f>
        <v>0</v>
      </c>
      <c r="L72" s="43">
        <f>0</f>
        <v>0</v>
      </c>
      <c r="M72" s="43">
        <f>0</f>
        <v>0</v>
      </c>
      <c r="N72" s="43">
        <f>0</f>
        <v>0</v>
      </c>
      <c r="O72" s="43">
        <f>0</f>
        <v>0</v>
      </c>
      <c r="P72" s="43">
        <f>0</f>
        <v>0</v>
      </c>
      <c r="Q72" s="43">
        <f>0</f>
        <v>0</v>
      </c>
    </row>
    <row r="73" spans="2:18" outlineLevel="2">
      <c r="B73" s="35" t="s">
        <v>163</v>
      </c>
      <c r="C73" s="86" t="s">
        <v>96</v>
      </c>
      <c r="D73" s="217" t="s">
        <v>198</v>
      </c>
      <c r="E73" s="71">
        <f>11521.31</f>
        <v>11521.31</v>
      </c>
      <c r="F73" s="40">
        <f>13360</f>
        <v>13360</v>
      </c>
      <c r="G73" s="40">
        <f>43097</f>
        <v>43097</v>
      </c>
      <c r="H73" s="41">
        <f>42094</f>
        <v>42094</v>
      </c>
      <c r="I73" s="42">
        <f>163335</f>
        <v>163335</v>
      </c>
      <c r="J73" s="43">
        <f>0</f>
        <v>0</v>
      </c>
      <c r="K73" s="43">
        <f>0</f>
        <v>0</v>
      </c>
      <c r="L73" s="43">
        <f>0</f>
        <v>0</v>
      </c>
      <c r="M73" s="43">
        <f>0</f>
        <v>0</v>
      </c>
      <c r="N73" s="43">
        <f>0</f>
        <v>0</v>
      </c>
      <c r="O73" s="43">
        <f>0</f>
        <v>0</v>
      </c>
      <c r="P73" s="43">
        <f>0</f>
        <v>0</v>
      </c>
      <c r="Q73" s="43">
        <f>0</f>
        <v>0</v>
      </c>
    </row>
    <row r="74" spans="2:18" ht="24" outlineLevel="1">
      <c r="B74" s="34">
        <v>12</v>
      </c>
      <c r="C74" s="289" t="s">
        <v>97</v>
      </c>
      <c r="D74" s="216" t="s">
        <v>97</v>
      </c>
      <c r="E74" s="73" t="s">
        <v>28</v>
      </c>
      <c r="F74" s="50" t="s">
        <v>28</v>
      </c>
      <c r="G74" s="50" t="s">
        <v>28</v>
      </c>
      <c r="H74" s="51" t="s">
        <v>28</v>
      </c>
      <c r="I74" s="52" t="s">
        <v>28</v>
      </c>
      <c r="J74" s="53" t="s">
        <v>28</v>
      </c>
      <c r="K74" s="53" t="s">
        <v>28</v>
      </c>
      <c r="L74" s="53" t="s">
        <v>28</v>
      </c>
      <c r="M74" s="53" t="s">
        <v>28</v>
      </c>
      <c r="N74" s="53" t="s">
        <v>28</v>
      </c>
      <c r="O74" s="53" t="s">
        <v>28</v>
      </c>
      <c r="P74" s="53" t="s">
        <v>28</v>
      </c>
      <c r="Q74" s="53" t="s">
        <v>28</v>
      </c>
      <c r="R74" s="32"/>
    </row>
    <row r="75" spans="2:18" ht="24" outlineLevel="2">
      <c r="B75" s="35" t="s">
        <v>164</v>
      </c>
      <c r="C75" s="86" t="s">
        <v>98</v>
      </c>
      <c r="D75" s="217" t="s">
        <v>469</v>
      </c>
      <c r="E75" s="71">
        <f>208248.55</f>
        <v>208248.55</v>
      </c>
      <c r="F75" s="40">
        <f>28515</f>
        <v>28515</v>
      </c>
      <c r="G75" s="40">
        <f>1485</f>
        <v>1485</v>
      </c>
      <c r="H75" s="41">
        <f>1485</f>
        <v>1485</v>
      </c>
      <c r="I75" s="42">
        <f>166855.7</f>
        <v>166855.70000000001</v>
      </c>
      <c r="J75" s="43">
        <f>70939.2</f>
        <v>70939.199999999997</v>
      </c>
      <c r="K75" s="43">
        <f>0</f>
        <v>0</v>
      </c>
      <c r="L75" s="43">
        <f>0</f>
        <v>0</v>
      </c>
      <c r="M75" s="43">
        <f>0</f>
        <v>0</v>
      </c>
      <c r="N75" s="43">
        <f>0</f>
        <v>0</v>
      </c>
      <c r="O75" s="43">
        <f>0</f>
        <v>0</v>
      </c>
      <c r="P75" s="43">
        <f>0</f>
        <v>0</v>
      </c>
      <c r="Q75" s="43">
        <f>0</f>
        <v>0</v>
      </c>
    </row>
    <row r="76" spans="2:18" outlineLevel="3">
      <c r="B76" s="35" t="s">
        <v>99</v>
      </c>
      <c r="C76" s="86" t="s">
        <v>100</v>
      </c>
      <c r="D76" s="298" t="s">
        <v>448</v>
      </c>
      <c r="E76" s="71">
        <f>176014.17</f>
        <v>176014.17</v>
      </c>
      <c r="F76" s="40">
        <f>25500</f>
        <v>25500</v>
      </c>
      <c r="G76" s="40">
        <f>0</f>
        <v>0</v>
      </c>
      <c r="H76" s="41">
        <f>0</f>
        <v>0</v>
      </c>
      <c r="I76" s="42">
        <f>141827.34</f>
        <v>141827.34</v>
      </c>
      <c r="J76" s="43">
        <f>60298.32</f>
        <v>60298.32</v>
      </c>
      <c r="K76" s="43">
        <f>0</f>
        <v>0</v>
      </c>
      <c r="L76" s="43">
        <f>0</f>
        <v>0</v>
      </c>
      <c r="M76" s="43">
        <f>0</f>
        <v>0</v>
      </c>
      <c r="N76" s="43">
        <f>0</f>
        <v>0</v>
      </c>
      <c r="O76" s="43">
        <f>0</f>
        <v>0</v>
      </c>
      <c r="P76" s="43">
        <f>0</f>
        <v>0</v>
      </c>
      <c r="Q76" s="43">
        <f>0</f>
        <v>0</v>
      </c>
    </row>
    <row r="77" spans="2:18" ht="24" outlineLevel="4">
      <c r="B77" s="35" t="s">
        <v>101</v>
      </c>
      <c r="C77" s="86" t="s">
        <v>102</v>
      </c>
      <c r="D77" s="297" t="s">
        <v>447</v>
      </c>
      <c r="E77" s="71">
        <f>176014.17</f>
        <v>176014.17</v>
      </c>
      <c r="F77" s="40">
        <f>25500</f>
        <v>25500</v>
      </c>
      <c r="G77" s="40">
        <f>0</f>
        <v>0</v>
      </c>
      <c r="H77" s="41">
        <f>0</f>
        <v>0</v>
      </c>
      <c r="I77" s="42">
        <f>141827.34</f>
        <v>141827.34</v>
      </c>
      <c r="J77" s="43">
        <f>60298.32</f>
        <v>60298.32</v>
      </c>
      <c r="K77" s="43">
        <f>0</f>
        <v>0</v>
      </c>
      <c r="L77" s="43">
        <f>0</f>
        <v>0</v>
      </c>
      <c r="M77" s="43">
        <f>0</f>
        <v>0</v>
      </c>
      <c r="N77" s="43">
        <f>0</f>
        <v>0</v>
      </c>
      <c r="O77" s="43">
        <f>0</f>
        <v>0</v>
      </c>
      <c r="P77" s="43">
        <f>0</f>
        <v>0</v>
      </c>
      <c r="Q77" s="43">
        <f>0</f>
        <v>0</v>
      </c>
    </row>
    <row r="78" spans="2:18" ht="24" outlineLevel="2">
      <c r="B78" s="35" t="s">
        <v>165</v>
      </c>
      <c r="C78" s="86" t="s">
        <v>103</v>
      </c>
      <c r="D78" s="217" t="s">
        <v>468</v>
      </c>
      <c r="E78" s="71">
        <f>993396</f>
        <v>993396</v>
      </c>
      <c r="F78" s="40">
        <f>1913243.57</f>
        <v>1913243.57</v>
      </c>
      <c r="G78" s="40">
        <f>779500</f>
        <v>779500</v>
      </c>
      <c r="H78" s="41">
        <f>279500</f>
        <v>279500</v>
      </c>
      <c r="I78" s="42">
        <f>1166609</f>
        <v>1166609</v>
      </c>
      <c r="J78" s="43">
        <f>0</f>
        <v>0</v>
      </c>
      <c r="K78" s="43">
        <f>0</f>
        <v>0</v>
      </c>
      <c r="L78" s="43">
        <f>0</f>
        <v>0</v>
      </c>
      <c r="M78" s="43">
        <f>0</f>
        <v>0</v>
      </c>
      <c r="N78" s="43">
        <f>0</f>
        <v>0</v>
      </c>
      <c r="O78" s="43">
        <f>0</f>
        <v>0</v>
      </c>
      <c r="P78" s="43">
        <f>0</f>
        <v>0</v>
      </c>
      <c r="Q78" s="43">
        <f>0</f>
        <v>0</v>
      </c>
    </row>
    <row r="79" spans="2:18" outlineLevel="3">
      <c r="B79" s="35" t="s">
        <v>104</v>
      </c>
      <c r="C79" s="86" t="s">
        <v>105</v>
      </c>
      <c r="D79" s="298" t="s">
        <v>448</v>
      </c>
      <c r="E79" s="71">
        <f>993396</f>
        <v>993396</v>
      </c>
      <c r="F79" s="40">
        <f>1696815.57</f>
        <v>1696815.57</v>
      </c>
      <c r="G79" s="40">
        <f>779500</f>
        <v>779500</v>
      </c>
      <c r="H79" s="41">
        <f>279500</f>
        <v>279500</v>
      </c>
      <c r="I79" s="42">
        <f>1095933.35</f>
        <v>1095933.3500000001</v>
      </c>
      <c r="J79" s="43">
        <f>0</f>
        <v>0</v>
      </c>
      <c r="K79" s="43">
        <f>0</f>
        <v>0</v>
      </c>
      <c r="L79" s="43">
        <f>0</f>
        <v>0</v>
      </c>
      <c r="M79" s="43">
        <f>0</f>
        <v>0</v>
      </c>
      <c r="N79" s="43">
        <f>0</f>
        <v>0</v>
      </c>
      <c r="O79" s="43">
        <f>0</f>
        <v>0</v>
      </c>
      <c r="P79" s="43">
        <f>0</f>
        <v>0</v>
      </c>
      <c r="Q79" s="43">
        <f>0</f>
        <v>0</v>
      </c>
    </row>
    <row r="80" spans="2:18" ht="24" outlineLevel="4">
      <c r="B80" s="35" t="s">
        <v>106</v>
      </c>
      <c r="C80" s="86" t="s">
        <v>107</v>
      </c>
      <c r="D80" s="297" t="s">
        <v>446</v>
      </c>
      <c r="E80" s="71">
        <f>993396</f>
        <v>993396</v>
      </c>
      <c r="F80" s="40">
        <f>1696815.57</f>
        <v>1696815.57</v>
      </c>
      <c r="G80" s="40">
        <f>779500</f>
        <v>779500</v>
      </c>
      <c r="H80" s="41">
        <f>279500</f>
        <v>279500</v>
      </c>
      <c r="I80" s="42">
        <f>1095933.35</f>
        <v>1095933.3500000001</v>
      </c>
      <c r="J80" s="43">
        <f>0</f>
        <v>0</v>
      </c>
      <c r="K80" s="43">
        <f>0</f>
        <v>0</v>
      </c>
      <c r="L80" s="43">
        <f>0</f>
        <v>0</v>
      </c>
      <c r="M80" s="43">
        <f>0</f>
        <v>0</v>
      </c>
      <c r="N80" s="43">
        <f>0</f>
        <v>0</v>
      </c>
      <c r="O80" s="43">
        <f>0</f>
        <v>0</v>
      </c>
      <c r="P80" s="43">
        <f>0</f>
        <v>0</v>
      </c>
      <c r="Q80" s="43">
        <f>0</f>
        <v>0</v>
      </c>
    </row>
    <row r="81" spans="1:18" ht="24" outlineLevel="2">
      <c r="B81" s="35" t="s">
        <v>166</v>
      </c>
      <c r="C81" s="86" t="s">
        <v>108</v>
      </c>
      <c r="D81" s="217" t="s">
        <v>199</v>
      </c>
      <c r="E81" s="71">
        <f>215996.41</f>
        <v>215996.41</v>
      </c>
      <c r="F81" s="40">
        <f>20100</f>
        <v>20100</v>
      </c>
      <c r="G81" s="40">
        <f>9900</f>
        <v>9900</v>
      </c>
      <c r="H81" s="41">
        <f>9900</f>
        <v>9900</v>
      </c>
      <c r="I81" s="42">
        <f>166855.7</f>
        <v>166855.70000000001</v>
      </c>
      <c r="J81" s="43">
        <f>70939.2</f>
        <v>70939.199999999997</v>
      </c>
      <c r="K81" s="43">
        <f>0</f>
        <v>0</v>
      </c>
      <c r="L81" s="43">
        <f>0</f>
        <v>0</v>
      </c>
      <c r="M81" s="43">
        <f>0</f>
        <v>0</v>
      </c>
      <c r="N81" s="43">
        <f>0</f>
        <v>0</v>
      </c>
      <c r="O81" s="43">
        <f>0</f>
        <v>0</v>
      </c>
      <c r="P81" s="43">
        <f>0</f>
        <v>0</v>
      </c>
      <c r="Q81" s="43">
        <f>0</f>
        <v>0</v>
      </c>
    </row>
    <row r="82" spans="1:18" outlineLevel="3">
      <c r="B82" s="35" t="s">
        <v>109</v>
      </c>
      <c r="C82" s="86" t="s">
        <v>110</v>
      </c>
      <c r="D82" s="298" t="s">
        <v>467</v>
      </c>
      <c r="E82" s="71">
        <f>183596.95</f>
        <v>183596.95</v>
      </c>
      <c r="F82" s="40">
        <f>17085</f>
        <v>17085</v>
      </c>
      <c r="G82" s="40">
        <f>8415</f>
        <v>8415</v>
      </c>
      <c r="H82" s="41">
        <f>8415</f>
        <v>8415</v>
      </c>
      <c r="I82" s="42">
        <f>141827.34</f>
        <v>141827.34</v>
      </c>
      <c r="J82" s="43">
        <f>60298.32</f>
        <v>60298.32</v>
      </c>
      <c r="K82" s="43">
        <f>0</f>
        <v>0</v>
      </c>
      <c r="L82" s="43">
        <f>0</f>
        <v>0</v>
      </c>
      <c r="M82" s="43">
        <f>0</f>
        <v>0</v>
      </c>
      <c r="N82" s="43">
        <f>0</f>
        <v>0</v>
      </c>
      <c r="O82" s="43">
        <f>0</f>
        <v>0</v>
      </c>
      <c r="P82" s="43">
        <f>0</f>
        <v>0</v>
      </c>
      <c r="Q82" s="43">
        <f>0</f>
        <v>0</v>
      </c>
    </row>
    <row r="83" spans="1:18" ht="24.75" customHeight="1" outlineLevel="3">
      <c r="B83" s="35" t="s">
        <v>111</v>
      </c>
      <c r="C83" s="86" t="s">
        <v>112</v>
      </c>
      <c r="D83" s="218" t="s">
        <v>200</v>
      </c>
      <c r="E83" s="71">
        <f>215996.41</f>
        <v>215996.41</v>
      </c>
      <c r="F83" s="40">
        <f>20100</f>
        <v>20100</v>
      </c>
      <c r="G83" s="40">
        <f>9900</f>
        <v>9900</v>
      </c>
      <c r="H83" s="41">
        <f>9900</f>
        <v>9900</v>
      </c>
      <c r="I83" s="42">
        <f>166855.7</f>
        <v>166855.70000000001</v>
      </c>
      <c r="J83" s="43">
        <f>70939.2</f>
        <v>70939.199999999997</v>
      </c>
      <c r="K83" s="43">
        <f>0</f>
        <v>0</v>
      </c>
      <c r="L83" s="43">
        <f>0</f>
        <v>0</v>
      </c>
      <c r="M83" s="43">
        <f>0</f>
        <v>0</v>
      </c>
      <c r="N83" s="43">
        <f>0</f>
        <v>0</v>
      </c>
      <c r="O83" s="43">
        <f>0</f>
        <v>0</v>
      </c>
      <c r="P83" s="43">
        <f>0</f>
        <v>0</v>
      </c>
      <c r="Q83" s="43">
        <f>0</f>
        <v>0</v>
      </c>
    </row>
    <row r="84" spans="1:18" ht="24" outlineLevel="2">
      <c r="B84" s="35" t="s">
        <v>167</v>
      </c>
      <c r="C84" s="86" t="s">
        <v>113</v>
      </c>
      <c r="D84" s="217" t="s">
        <v>201</v>
      </c>
      <c r="E84" s="71">
        <f>1719165.08</f>
        <v>1719165.08</v>
      </c>
      <c r="F84" s="40">
        <f>1208884.24</f>
        <v>1208884.24</v>
      </c>
      <c r="G84" s="40">
        <f>1334069</f>
        <v>1334069</v>
      </c>
      <c r="H84" s="41">
        <f>1364426.36</f>
        <v>1364426.36</v>
      </c>
      <c r="I84" s="42">
        <f>850962.17</f>
        <v>850962.17</v>
      </c>
      <c r="J84" s="43">
        <f>0</f>
        <v>0</v>
      </c>
      <c r="K84" s="43">
        <f>0</f>
        <v>0</v>
      </c>
      <c r="L84" s="43">
        <f>0</f>
        <v>0</v>
      </c>
      <c r="M84" s="43">
        <f>0</f>
        <v>0</v>
      </c>
      <c r="N84" s="43">
        <f>0</f>
        <v>0</v>
      </c>
      <c r="O84" s="43">
        <f>0</f>
        <v>0</v>
      </c>
      <c r="P84" s="43">
        <f>0</f>
        <v>0</v>
      </c>
      <c r="Q84" s="43">
        <f>0</f>
        <v>0</v>
      </c>
    </row>
    <row r="85" spans="1:18" outlineLevel="3">
      <c r="B85" s="35" t="s">
        <v>114</v>
      </c>
      <c r="C85" s="86" t="s">
        <v>115</v>
      </c>
      <c r="D85" s="298" t="s">
        <v>466</v>
      </c>
      <c r="E85" s="71">
        <f>1053130</f>
        <v>1053130</v>
      </c>
      <c r="F85" s="40">
        <f>613013.13</f>
        <v>613013.13</v>
      </c>
      <c r="G85" s="40">
        <f>500000</f>
        <v>500000</v>
      </c>
      <c r="H85" s="41">
        <f>0</f>
        <v>0</v>
      </c>
      <c r="I85" s="42">
        <f>578755.01</f>
        <v>578755.01</v>
      </c>
      <c r="J85" s="43">
        <f>0</f>
        <v>0</v>
      </c>
      <c r="K85" s="43">
        <f>0</f>
        <v>0</v>
      </c>
      <c r="L85" s="43">
        <f>0</f>
        <v>0</v>
      </c>
      <c r="M85" s="43">
        <f>0</f>
        <v>0</v>
      </c>
      <c r="N85" s="43">
        <f>0</f>
        <v>0</v>
      </c>
      <c r="O85" s="43">
        <f>0</f>
        <v>0</v>
      </c>
      <c r="P85" s="43">
        <f>0</f>
        <v>0</v>
      </c>
      <c r="Q85" s="43">
        <f>0</f>
        <v>0</v>
      </c>
    </row>
    <row r="86" spans="1:18" ht="27" customHeight="1" outlineLevel="3">
      <c r="B86" s="35" t="s">
        <v>116</v>
      </c>
      <c r="C86" s="86" t="s">
        <v>117</v>
      </c>
      <c r="D86" s="218" t="s">
        <v>202</v>
      </c>
      <c r="E86" s="71">
        <f>1719165.08</f>
        <v>1719165.08</v>
      </c>
      <c r="F86" s="40">
        <f>1208884.24</f>
        <v>1208884.24</v>
      </c>
      <c r="G86" s="40">
        <f>1334069</f>
        <v>1334069</v>
      </c>
      <c r="H86" s="41">
        <f>1364426.36</f>
        <v>1364426.36</v>
      </c>
      <c r="I86" s="42">
        <f>850962.17</f>
        <v>850962.17</v>
      </c>
      <c r="J86" s="43">
        <f>0</f>
        <v>0</v>
      </c>
      <c r="K86" s="43">
        <f>0</f>
        <v>0</v>
      </c>
      <c r="L86" s="43">
        <f>0</f>
        <v>0</v>
      </c>
      <c r="M86" s="43">
        <f>0</f>
        <v>0</v>
      </c>
      <c r="N86" s="43">
        <f>0</f>
        <v>0</v>
      </c>
      <c r="O86" s="43">
        <f>0</f>
        <v>0</v>
      </c>
      <c r="P86" s="43">
        <f>0</f>
        <v>0</v>
      </c>
      <c r="Q86" s="43">
        <f>0</f>
        <v>0</v>
      </c>
    </row>
    <row r="87" spans="1:18" s="268" customFormat="1" ht="36" outlineLevel="2">
      <c r="A87" s="274"/>
      <c r="B87" s="35" t="s">
        <v>397</v>
      </c>
      <c r="C87" s="86" t="s">
        <v>398</v>
      </c>
      <c r="D87" s="217" t="s">
        <v>465</v>
      </c>
      <c r="E87" s="71">
        <f>0</f>
        <v>0</v>
      </c>
      <c r="F87" s="40">
        <f>0</f>
        <v>0</v>
      </c>
      <c r="G87" s="40">
        <f>834069</f>
        <v>834069</v>
      </c>
      <c r="H87" s="41">
        <f>847248.02</f>
        <v>847248.02</v>
      </c>
      <c r="I87" s="42">
        <f>287400.03</f>
        <v>287400.03000000003</v>
      </c>
      <c r="J87" s="43">
        <f>10640.88</f>
        <v>10640.88</v>
      </c>
      <c r="K87" s="43">
        <f>0</f>
        <v>0</v>
      </c>
      <c r="L87" s="43">
        <f>0</f>
        <v>0</v>
      </c>
      <c r="M87" s="43">
        <f>0</f>
        <v>0</v>
      </c>
      <c r="N87" s="43">
        <f>0</f>
        <v>0</v>
      </c>
      <c r="O87" s="43">
        <f>0</f>
        <v>0</v>
      </c>
      <c r="P87" s="43">
        <f>0</f>
        <v>0</v>
      </c>
      <c r="Q87" s="43">
        <f>0</f>
        <v>0</v>
      </c>
    </row>
    <row r="88" spans="1:18" s="268" customFormat="1" outlineLevel="3">
      <c r="A88" s="274"/>
      <c r="B88" s="35" t="s">
        <v>399</v>
      </c>
      <c r="C88" s="86" t="s">
        <v>400</v>
      </c>
      <c r="D88" s="218" t="s">
        <v>450</v>
      </c>
      <c r="E88" s="71">
        <f>0</f>
        <v>0</v>
      </c>
      <c r="F88" s="40">
        <f>0</f>
        <v>0</v>
      </c>
      <c r="G88" s="40">
        <f>834069</f>
        <v>834069</v>
      </c>
      <c r="H88" s="41">
        <f>847248.02</f>
        <v>847248.02</v>
      </c>
      <c r="I88" s="42">
        <f>287400.03</f>
        <v>287400.03000000003</v>
      </c>
      <c r="J88" s="43">
        <f>10640.88</f>
        <v>10640.88</v>
      </c>
      <c r="K88" s="43">
        <f>0</f>
        <v>0</v>
      </c>
      <c r="L88" s="43">
        <f>0</f>
        <v>0</v>
      </c>
      <c r="M88" s="43">
        <f>0</f>
        <v>0</v>
      </c>
      <c r="N88" s="43">
        <f>0</f>
        <v>0</v>
      </c>
      <c r="O88" s="43">
        <f>0</f>
        <v>0</v>
      </c>
      <c r="P88" s="43">
        <f>0</f>
        <v>0</v>
      </c>
      <c r="Q88" s="43">
        <f>0</f>
        <v>0</v>
      </c>
    </row>
    <row r="89" spans="1:18" s="268" customFormat="1" ht="36" outlineLevel="2">
      <c r="A89" s="274"/>
      <c r="B89" s="35" t="s">
        <v>401</v>
      </c>
      <c r="C89" s="86" t="s">
        <v>402</v>
      </c>
      <c r="D89" s="217" t="s">
        <v>449</v>
      </c>
      <c r="E89" s="71">
        <f>0</f>
        <v>0</v>
      </c>
      <c r="F89" s="40">
        <f>0</f>
        <v>0</v>
      </c>
      <c r="G89" s="40">
        <f>0</f>
        <v>0</v>
      </c>
      <c r="H89" s="41">
        <f>0</f>
        <v>0</v>
      </c>
      <c r="I89" s="42">
        <f>0</f>
        <v>0</v>
      </c>
      <c r="J89" s="43">
        <f>0</f>
        <v>0</v>
      </c>
      <c r="K89" s="43">
        <f>0</f>
        <v>0</v>
      </c>
      <c r="L89" s="43">
        <f>0</f>
        <v>0</v>
      </c>
      <c r="M89" s="43">
        <f>0</f>
        <v>0</v>
      </c>
      <c r="N89" s="43">
        <f>0</f>
        <v>0</v>
      </c>
      <c r="O89" s="43">
        <f>0</f>
        <v>0</v>
      </c>
      <c r="P89" s="43">
        <f>0</f>
        <v>0</v>
      </c>
      <c r="Q89" s="43">
        <f>0</f>
        <v>0</v>
      </c>
    </row>
    <row r="90" spans="1:18" s="268" customFormat="1" outlineLevel="3">
      <c r="A90" s="274"/>
      <c r="B90" s="35" t="s">
        <v>403</v>
      </c>
      <c r="C90" s="86" t="s">
        <v>400</v>
      </c>
      <c r="D90" s="218" t="s">
        <v>450</v>
      </c>
      <c r="E90" s="71">
        <f>0</f>
        <v>0</v>
      </c>
      <c r="F90" s="40">
        <f>0</f>
        <v>0</v>
      </c>
      <c r="G90" s="40">
        <f>0</f>
        <v>0</v>
      </c>
      <c r="H90" s="41">
        <f>0</f>
        <v>0</v>
      </c>
      <c r="I90" s="42">
        <f>0</f>
        <v>0</v>
      </c>
      <c r="J90" s="43">
        <f>0</f>
        <v>0</v>
      </c>
      <c r="K90" s="43">
        <f>0</f>
        <v>0</v>
      </c>
      <c r="L90" s="43">
        <f>0</f>
        <v>0</v>
      </c>
      <c r="M90" s="43">
        <f>0</f>
        <v>0</v>
      </c>
      <c r="N90" s="43">
        <f>0</f>
        <v>0</v>
      </c>
      <c r="O90" s="43">
        <f>0</f>
        <v>0</v>
      </c>
      <c r="P90" s="43">
        <f>0</f>
        <v>0</v>
      </c>
      <c r="Q90" s="43">
        <f>0</f>
        <v>0</v>
      </c>
    </row>
    <row r="91" spans="1:18" s="268" customFormat="1" ht="36" outlineLevel="2">
      <c r="A91" s="274"/>
      <c r="B91" s="35" t="s">
        <v>404</v>
      </c>
      <c r="C91" s="86" t="s">
        <v>405</v>
      </c>
      <c r="D91" s="217" t="s">
        <v>464</v>
      </c>
      <c r="E91" s="71">
        <f>0</f>
        <v>0</v>
      </c>
      <c r="F91" s="40">
        <f>0</f>
        <v>0</v>
      </c>
      <c r="G91" s="40">
        <f>0</f>
        <v>0</v>
      </c>
      <c r="H91" s="41">
        <f>800000</f>
        <v>800000</v>
      </c>
      <c r="I91" s="42">
        <f>0</f>
        <v>0</v>
      </c>
      <c r="J91" s="43">
        <f>0</f>
        <v>0</v>
      </c>
      <c r="K91" s="43">
        <f>0</f>
        <v>0</v>
      </c>
      <c r="L91" s="43">
        <f>0</f>
        <v>0</v>
      </c>
      <c r="M91" s="43">
        <f>0</f>
        <v>0</v>
      </c>
      <c r="N91" s="43">
        <f>0</f>
        <v>0</v>
      </c>
      <c r="O91" s="43">
        <f>0</f>
        <v>0</v>
      </c>
      <c r="P91" s="43">
        <f>0</f>
        <v>0</v>
      </c>
      <c r="Q91" s="43">
        <f>0</f>
        <v>0</v>
      </c>
    </row>
    <row r="92" spans="1:18" s="268" customFormat="1" outlineLevel="3">
      <c r="A92" s="274"/>
      <c r="B92" s="35" t="s">
        <v>406</v>
      </c>
      <c r="C92" s="86" t="s">
        <v>400</v>
      </c>
      <c r="D92" s="218" t="s">
        <v>450</v>
      </c>
      <c r="E92" s="71">
        <f>0</f>
        <v>0</v>
      </c>
      <c r="F92" s="40">
        <f>0</f>
        <v>0</v>
      </c>
      <c r="G92" s="40">
        <f>0</f>
        <v>0</v>
      </c>
      <c r="H92" s="41">
        <f>800000</f>
        <v>800000</v>
      </c>
      <c r="I92" s="42">
        <f>0</f>
        <v>0</v>
      </c>
      <c r="J92" s="43">
        <f>0</f>
        <v>0</v>
      </c>
      <c r="K92" s="43">
        <f>0</f>
        <v>0</v>
      </c>
      <c r="L92" s="43">
        <f>0</f>
        <v>0</v>
      </c>
      <c r="M92" s="43">
        <f>0</f>
        <v>0</v>
      </c>
      <c r="N92" s="43">
        <f>0</f>
        <v>0</v>
      </c>
      <c r="O92" s="43">
        <f>0</f>
        <v>0</v>
      </c>
      <c r="P92" s="43">
        <f>0</f>
        <v>0</v>
      </c>
      <c r="Q92" s="43">
        <f>0</f>
        <v>0</v>
      </c>
    </row>
    <row r="93" spans="1:18" s="268" customFormat="1" ht="36" outlineLevel="2">
      <c r="A93" s="274"/>
      <c r="B93" s="35" t="s">
        <v>407</v>
      </c>
      <c r="C93" s="86" t="s">
        <v>408</v>
      </c>
      <c r="D93" s="217" t="s">
        <v>463</v>
      </c>
      <c r="E93" s="71">
        <f>0</f>
        <v>0</v>
      </c>
      <c r="F93" s="40">
        <f>0</f>
        <v>0</v>
      </c>
      <c r="G93" s="40">
        <f>0</f>
        <v>0</v>
      </c>
      <c r="H93" s="41">
        <f>0</f>
        <v>0</v>
      </c>
      <c r="I93" s="42">
        <f>0</f>
        <v>0</v>
      </c>
      <c r="J93" s="43">
        <f>0</f>
        <v>0</v>
      </c>
      <c r="K93" s="43">
        <f>0</f>
        <v>0</v>
      </c>
      <c r="L93" s="43">
        <f>0</f>
        <v>0</v>
      </c>
      <c r="M93" s="43">
        <f>0</f>
        <v>0</v>
      </c>
      <c r="N93" s="43">
        <f>0</f>
        <v>0</v>
      </c>
      <c r="O93" s="43">
        <f>0</f>
        <v>0</v>
      </c>
      <c r="P93" s="43">
        <f>0</f>
        <v>0</v>
      </c>
      <c r="Q93" s="43">
        <f>0</f>
        <v>0</v>
      </c>
    </row>
    <row r="94" spans="1:18" s="268" customFormat="1" outlineLevel="3">
      <c r="A94" s="274"/>
      <c r="B94" s="35" t="s">
        <v>409</v>
      </c>
      <c r="C94" s="86" t="s">
        <v>400</v>
      </c>
      <c r="D94" s="218" t="s">
        <v>450</v>
      </c>
      <c r="E94" s="71">
        <f>0</f>
        <v>0</v>
      </c>
      <c r="F94" s="40">
        <f>0</f>
        <v>0</v>
      </c>
      <c r="G94" s="40">
        <f>0</f>
        <v>0</v>
      </c>
      <c r="H94" s="41">
        <f>0</f>
        <v>0</v>
      </c>
      <c r="I94" s="42">
        <f>0</f>
        <v>0</v>
      </c>
      <c r="J94" s="43">
        <f>0</f>
        <v>0</v>
      </c>
      <c r="K94" s="43">
        <f>0</f>
        <v>0</v>
      </c>
      <c r="L94" s="43">
        <f>0</f>
        <v>0</v>
      </c>
      <c r="M94" s="43">
        <f>0</f>
        <v>0</v>
      </c>
      <c r="N94" s="43">
        <f>0</f>
        <v>0</v>
      </c>
      <c r="O94" s="43">
        <f>0</f>
        <v>0</v>
      </c>
      <c r="P94" s="43">
        <f>0</f>
        <v>0</v>
      </c>
      <c r="Q94" s="43">
        <f>0</f>
        <v>0</v>
      </c>
    </row>
    <row r="95" spans="1:18" ht="24" outlineLevel="1">
      <c r="B95" s="34">
        <v>13</v>
      </c>
      <c r="C95" s="289" t="s">
        <v>118</v>
      </c>
      <c r="D95" s="215" t="s">
        <v>118</v>
      </c>
      <c r="E95" s="73" t="s">
        <v>28</v>
      </c>
      <c r="F95" s="50" t="s">
        <v>28</v>
      </c>
      <c r="G95" s="50" t="s">
        <v>28</v>
      </c>
      <c r="H95" s="51" t="s">
        <v>28</v>
      </c>
      <c r="I95" s="52" t="s">
        <v>28</v>
      </c>
      <c r="J95" s="53" t="s">
        <v>28</v>
      </c>
      <c r="K95" s="53" t="s">
        <v>28</v>
      </c>
      <c r="L95" s="53" t="s">
        <v>28</v>
      </c>
      <c r="M95" s="53" t="s">
        <v>28</v>
      </c>
      <c r="N95" s="53" t="s">
        <v>28</v>
      </c>
      <c r="O95" s="53" t="s">
        <v>28</v>
      </c>
      <c r="P95" s="53" t="s">
        <v>28</v>
      </c>
      <c r="Q95" s="53" t="s">
        <v>28</v>
      </c>
      <c r="R95" s="32"/>
    </row>
    <row r="96" spans="1:18" ht="24" outlineLevel="2">
      <c r="B96" s="35" t="s">
        <v>168</v>
      </c>
      <c r="C96" s="86" t="s">
        <v>119</v>
      </c>
      <c r="D96" s="217" t="s">
        <v>203</v>
      </c>
      <c r="E96" s="71">
        <f>0</f>
        <v>0</v>
      </c>
      <c r="F96" s="40">
        <f>0</f>
        <v>0</v>
      </c>
      <c r="G96" s="40">
        <f>0</f>
        <v>0</v>
      </c>
      <c r="H96" s="41">
        <f>0</f>
        <v>0</v>
      </c>
      <c r="I96" s="42">
        <f>0</f>
        <v>0</v>
      </c>
      <c r="J96" s="43">
        <f>0</f>
        <v>0</v>
      </c>
      <c r="K96" s="43">
        <f>0</f>
        <v>0</v>
      </c>
      <c r="L96" s="43">
        <f>0</f>
        <v>0</v>
      </c>
      <c r="M96" s="43">
        <f>0</f>
        <v>0</v>
      </c>
      <c r="N96" s="43">
        <f>0</f>
        <v>0</v>
      </c>
      <c r="O96" s="43">
        <f>0</f>
        <v>0</v>
      </c>
      <c r="P96" s="43">
        <f>0</f>
        <v>0</v>
      </c>
      <c r="Q96" s="43">
        <f>0</f>
        <v>0</v>
      </c>
    </row>
    <row r="97" spans="1:18" ht="24" outlineLevel="2">
      <c r="B97" s="35" t="s">
        <v>169</v>
      </c>
      <c r="C97" s="86" t="s">
        <v>120</v>
      </c>
      <c r="D97" s="217" t="s">
        <v>451</v>
      </c>
      <c r="E97" s="71">
        <f>0</f>
        <v>0</v>
      </c>
      <c r="F97" s="40">
        <f>0</f>
        <v>0</v>
      </c>
      <c r="G97" s="40">
        <f>0</f>
        <v>0</v>
      </c>
      <c r="H97" s="41">
        <f>0</f>
        <v>0</v>
      </c>
      <c r="I97" s="42">
        <f>0</f>
        <v>0</v>
      </c>
      <c r="J97" s="43">
        <f>0</f>
        <v>0</v>
      </c>
      <c r="K97" s="43">
        <f>0</f>
        <v>0</v>
      </c>
      <c r="L97" s="43">
        <f>0</f>
        <v>0</v>
      </c>
      <c r="M97" s="43">
        <f>0</f>
        <v>0</v>
      </c>
      <c r="N97" s="43">
        <f>0</f>
        <v>0</v>
      </c>
      <c r="O97" s="43">
        <f>0</f>
        <v>0</v>
      </c>
      <c r="P97" s="43">
        <f>0</f>
        <v>0</v>
      </c>
      <c r="Q97" s="43">
        <f>0</f>
        <v>0</v>
      </c>
    </row>
    <row r="98" spans="1:18" ht="24" outlineLevel="2">
      <c r="B98" s="35" t="s">
        <v>170</v>
      </c>
      <c r="C98" s="86" t="s">
        <v>121</v>
      </c>
      <c r="D98" s="217" t="s">
        <v>204</v>
      </c>
      <c r="E98" s="71">
        <f>0</f>
        <v>0</v>
      </c>
      <c r="F98" s="40">
        <f>0</f>
        <v>0</v>
      </c>
      <c r="G98" s="40">
        <f>0</f>
        <v>0</v>
      </c>
      <c r="H98" s="41">
        <f>0</f>
        <v>0</v>
      </c>
      <c r="I98" s="42">
        <f>0</f>
        <v>0</v>
      </c>
      <c r="J98" s="43">
        <f>0</f>
        <v>0</v>
      </c>
      <c r="K98" s="43">
        <f>0</f>
        <v>0</v>
      </c>
      <c r="L98" s="43">
        <f>0</f>
        <v>0</v>
      </c>
      <c r="M98" s="43">
        <f>0</f>
        <v>0</v>
      </c>
      <c r="N98" s="43">
        <f>0</f>
        <v>0</v>
      </c>
      <c r="O98" s="43">
        <f>0</f>
        <v>0</v>
      </c>
      <c r="P98" s="43">
        <f>0</f>
        <v>0</v>
      </c>
      <c r="Q98" s="43">
        <f>0</f>
        <v>0</v>
      </c>
    </row>
    <row r="99" spans="1:18" ht="24" outlineLevel="2">
      <c r="B99" s="35" t="s">
        <v>171</v>
      </c>
      <c r="C99" s="86" t="s">
        <v>122</v>
      </c>
      <c r="D99" s="217" t="s">
        <v>452</v>
      </c>
      <c r="E99" s="71">
        <f>0</f>
        <v>0</v>
      </c>
      <c r="F99" s="40">
        <f>0</f>
        <v>0</v>
      </c>
      <c r="G99" s="40">
        <f>0</f>
        <v>0</v>
      </c>
      <c r="H99" s="41">
        <f>0</f>
        <v>0</v>
      </c>
      <c r="I99" s="42">
        <f>0</f>
        <v>0</v>
      </c>
      <c r="J99" s="43">
        <f>0</f>
        <v>0</v>
      </c>
      <c r="K99" s="43">
        <f>0</f>
        <v>0</v>
      </c>
      <c r="L99" s="43">
        <f>0</f>
        <v>0</v>
      </c>
      <c r="M99" s="43">
        <f>0</f>
        <v>0</v>
      </c>
      <c r="N99" s="43">
        <f>0</f>
        <v>0</v>
      </c>
      <c r="O99" s="43">
        <f>0</f>
        <v>0</v>
      </c>
      <c r="P99" s="43">
        <f>0</f>
        <v>0</v>
      </c>
      <c r="Q99" s="43">
        <f>0</f>
        <v>0</v>
      </c>
    </row>
    <row r="100" spans="1:18" ht="24" outlineLevel="2">
      <c r="B100" s="35" t="s">
        <v>172</v>
      </c>
      <c r="C100" s="86" t="s">
        <v>123</v>
      </c>
      <c r="D100" s="217" t="s">
        <v>453</v>
      </c>
      <c r="E100" s="71">
        <f>0</f>
        <v>0</v>
      </c>
      <c r="F100" s="40">
        <f>0</f>
        <v>0</v>
      </c>
      <c r="G100" s="40">
        <f>0</f>
        <v>0</v>
      </c>
      <c r="H100" s="41">
        <f>0</f>
        <v>0</v>
      </c>
      <c r="I100" s="42">
        <f>0</f>
        <v>0</v>
      </c>
      <c r="J100" s="43">
        <f>0</f>
        <v>0</v>
      </c>
      <c r="K100" s="43">
        <f>0</f>
        <v>0</v>
      </c>
      <c r="L100" s="43">
        <f>0</f>
        <v>0</v>
      </c>
      <c r="M100" s="43">
        <f>0</f>
        <v>0</v>
      </c>
      <c r="N100" s="43">
        <f>0</f>
        <v>0</v>
      </c>
      <c r="O100" s="43">
        <f>0</f>
        <v>0</v>
      </c>
      <c r="P100" s="43">
        <f>0</f>
        <v>0</v>
      </c>
      <c r="Q100" s="43">
        <f>0</f>
        <v>0</v>
      </c>
    </row>
    <row r="101" spans="1:18" ht="24" outlineLevel="2">
      <c r="B101" s="35" t="s">
        <v>173</v>
      </c>
      <c r="C101" s="86" t="s">
        <v>124</v>
      </c>
      <c r="D101" s="217" t="s">
        <v>205</v>
      </c>
      <c r="E101" s="71">
        <f>0</f>
        <v>0</v>
      </c>
      <c r="F101" s="40">
        <f>0</f>
        <v>0</v>
      </c>
      <c r="G101" s="40">
        <f>0</f>
        <v>0</v>
      </c>
      <c r="H101" s="41">
        <f>0</f>
        <v>0</v>
      </c>
      <c r="I101" s="42">
        <f>0</f>
        <v>0</v>
      </c>
      <c r="J101" s="43">
        <f>0</f>
        <v>0</v>
      </c>
      <c r="K101" s="43">
        <f>0</f>
        <v>0</v>
      </c>
      <c r="L101" s="43">
        <f>0</f>
        <v>0</v>
      </c>
      <c r="M101" s="43">
        <f>0</f>
        <v>0</v>
      </c>
      <c r="N101" s="43">
        <f>0</f>
        <v>0</v>
      </c>
      <c r="O101" s="43">
        <f>0</f>
        <v>0</v>
      </c>
      <c r="P101" s="43">
        <f>0</f>
        <v>0</v>
      </c>
      <c r="Q101" s="43">
        <f>0</f>
        <v>0</v>
      </c>
    </row>
    <row r="102" spans="1:18" ht="24" outlineLevel="2">
      <c r="B102" s="35" t="s">
        <v>174</v>
      </c>
      <c r="C102" s="86" t="s">
        <v>125</v>
      </c>
      <c r="D102" s="217" t="s">
        <v>206</v>
      </c>
      <c r="E102" s="71">
        <f>0</f>
        <v>0</v>
      </c>
      <c r="F102" s="40">
        <f>0</f>
        <v>0</v>
      </c>
      <c r="G102" s="40">
        <f>0</f>
        <v>0</v>
      </c>
      <c r="H102" s="41">
        <f>0</f>
        <v>0</v>
      </c>
      <c r="I102" s="42">
        <f>0</f>
        <v>0</v>
      </c>
      <c r="J102" s="43">
        <f>0</f>
        <v>0</v>
      </c>
      <c r="K102" s="43">
        <f>0</f>
        <v>0</v>
      </c>
      <c r="L102" s="43">
        <f>0</f>
        <v>0</v>
      </c>
      <c r="M102" s="43">
        <f>0</f>
        <v>0</v>
      </c>
      <c r="N102" s="43">
        <f>0</f>
        <v>0</v>
      </c>
      <c r="O102" s="43">
        <f>0</f>
        <v>0</v>
      </c>
      <c r="P102" s="43">
        <f>0</f>
        <v>0</v>
      </c>
      <c r="Q102" s="43">
        <f>0</f>
        <v>0</v>
      </c>
    </row>
    <row r="103" spans="1:18" ht="15" outlineLevel="1">
      <c r="A103" s="232" t="s">
        <v>28</v>
      </c>
      <c r="B103" s="34">
        <v>14</v>
      </c>
      <c r="C103" s="289" t="s">
        <v>126</v>
      </c>
      <c r="D103" s="216" t="s">
        <v>126</v>
      </c>
      <c r="E103" s="73" t="s">
        <v>28</v>
      </c>
      <c r="F103" s="50" t="s">
        <v>28</v>
      </c>
      <c r="G103" s="50" t="s">
        <v>28</v>
      </c>
      <c r="H103" s="51" t="s">
        <v>28</v>
      </c>
      <c r="I103" s="52" t="s">
        <v>28</v>
      </c>
      <c r="J103" s="53" t="s">
        <v>28</v>
      </c>
      <c r="K103" s="53" t="s">
        <v>28</v>
      </c>
      <c r="L103" s="53" t="s">
        <v>28</v>
      </c>
      <c r="M103" s="53" t="s">
        <v>28</v>
      </c>
      <c r="N103" s="53" t="s">
        <v>28</v>
      </c>
      <c r="O103" s="53" t="s">
        <v>28</v>
      </c>
      <c r="P103" s="53" t="s">
        <v>28</v>
      </c>
      <c r="Q103" s="53" t="s">
        <v>28</v>
      </c>
      <c r="R103" s="32"/>
    </row>
    <row r="104" spans="1:18" ht="24" outlineLevel="2">
      <c r="A104" s="232" t="s">
        <v>28</v>
      </c>
      <c r="B104" s="35" t="s">
        <v>175</v>
      </c>
      <c r="C104" s="86" t="s">
        <v>127</v>
      </c>
      <c r="D104" s="217" t="s">
        <v>207</v>
      </c>
      <c r="E104" s="71">
        <f>1005325.64</f>
        <v>1005325.64</v>
      </c>
      <c r="F104" s="40">
        <f>946446.93</f>
        <v>946446.93</v>
      </c>
      <c r="G104" s="40">
        <f>336951</f>
        <v>336951</v>
      </c>
      <c r="H104" s="41">
        <f>336950.28</f>
        <v>336950.28</v>
      </c>
      <c r="I104" s="42">
        <f>472621</f>
        <v>472621</v>
      </c>
      <c r="J104" s="43">
        <f>474692</f>
        <v>474692</v>
      </c>
      <c r="K104" s="43">
        <f>466457</f>
        <v>466457</v>
      </c>
      <c r="L104" s="43">
        <f>358794</f>
        <v>358794</v>
      </c>
      <c r="M104" s="43">
        <f>174705</f>
        <v>174705</v>
      </c>
      <c r="N104" s="43">
        <f>120000</f>
        <v>120000</v>
      </c>
      <c r="O104" s="43">
        <f>80000</f>
        <v>80000</v>
      </c>
      <c r="P104" s="43">
        <f>0</f>
        <v>0</v>
      </c>
      <c r="Q104" s="43">
        <f>0</f>
        <v>0</v>
      </c>
    </row>
    <row r="105" spans="1:18" outlineLevel="2">
      <c r="A105" s="232" t="s">
        <v>28</v>
      </c>
      <c r="B105" s="35" t="s">
        <v>176</v>
      </c>
      <c r="C105" s="86" t="s">
        <v>128</v>
      </c>
      <c r="D105" s="217" t="s">
        <v>208</v>
      </c>
      <c r="E105" s="71">
        <f>0</f>
        <v>0</v>
      </c>
      <c r="F105" s="40">
        <f>0</f>
        <v>0</v>
      </c>
      <c r="G105" s="40">
        <f>0</f>
        <v>0</v>
      </c>
      <c r="H105" s="41">
        <f>0</f>
        <v>0</v>
      </c>
      <c r="I105" s="42">
        <f>0</f>
        <v>0</v>
      </c>
      <c r="J105" s="43">
        <f>0</f>
        <v>0</v>
      </c>
      <c r="K105" s="43">
        <f>0</f>
        <v>0</v>
      </c>
      <c r="L105" s="43">
        <f>0</f>
        <v>0</v>
      </c>
      <c r="M105" s="43">
        <f>0</f>
        <v>0</v>
      </c>
      <c r="N105" s="43">
        <f>0</f>
        <v>0</v>
      </c>
      <c r="O105" s="43">
        <f>0</f>
        <v>0</v>
      </c>
      <c r="P105" s="43">
        <f>0</f>
        <v>0</v>
      </c>
      <c r="Q105" s="43">
        <f>0</f>
        <v>0</v>
      </c>
    </row>
    <row r="106" spans="1:18" outlineLevel="2">
      <c r="A106" s="232" t="s">
        <v>28</v>
      </c>
      <c r="B106" s="35" t="s">
        <v>177</v>
      </c>
      <c r="C106" s="86" t="s">
        <v>129</v>
      </c>
      <c r="D106" s="217" t="s">
        <v>454</v>
      </c>
      <c r="E106" s="71">
        <f>0</f>
        <v>0</v>
      </c>
      <c r="F106" s="40">
        <f>0</f>
        <v>0</v>
      </c>
      <c r="G106" s="40">
        <f>0</f>
        <v>0</v>
      </c>
      <c r="H106" s="41">
        <f>0</f>
        <v>0</v>
      </c>
      <c r="I106" s="42">
        <f>0</f>
        <v>0</v>
      </c>
      <c r="J106" s="43">
        <f>0</f>
        <v>0</v>
      </c>
      <c r="K106" s="43">
        <f>0</f>
        <v>0</v>
      </c>
      <c r="L106" s="43">
        <f>0</f>
        <v>0</v>
      </c>
      <c r="M106" s="43">
        <f>0</f>
        <v>0</v>
      </c>
      <c r="N106" s="43">
        <f>0</f>
        <v>0</v>
      </c>
      <c r="O106" s="43">
        <f>0</f>
        <v>0</v>
      </c>
      <c r="P106" s="43">
        <f>0</f>
        <v>0</v>
      </c>
      <c r="Q106" s="43">
        <f>0</f>
        <v>0</v>
      </c>
    </row>
    <row r="107" spans="1:18" outlineLevel="3">
      <c r="A107" s="232" t="s">
        <v>28</v>
      </c>
      <c r="B107" s="35" t="s">
        <v>130</v>
      </c>
      <c r="C107" s="86" t="s">
        <v>131</v>
      </c>
      <c r="D107" s="218" t="s">
        <v>209</v>
      </c>
      <c r="E107" s="71">
        <f>0</f>
        <v>0</v>
      </c>
      <c r="F107" s="40">
        <f>0</f>
        <v>0</v>
      </c>
      <c r="G107" s="40">
        <f>0</f>
        <v>0</v>
      </c>
      <c r="H107" s="41">
        <f>0</f>
        <v>0</v>
      </c>
      <c r="I107" s="42">
        <f>0</f>
        <v>0</v>
      </c>
      <c r="J107" s="43">
        <f>0</f>
        <v>0</v>
      </c>
      <c r="K107" s="43">
        <f>0</f>
        <v>0</v>
      </c>
      <c r="L107" s="43">
        <f>0</f>
        <v>0</v>
      </c>
      <c r="M107" s="43">
        <f>0</f>
        <v>0</v>
      </c>
      <c r="N107" s="43">
        <f>0</f>
        <v>0</v>
      </c>
      <c r="O107" s="43">
        <f>0</f>
        <v>0</v>
      </c>
      <c r="P107" s="43">
        <f>0</f>
        <v>0</v>
      </c>
      <c r="Q107" s="43">
        <f>0</f>
        <v>0</v>
      </c>
    </row>
    <row r="108" spans="1:18" ht="24" outlineLevel="3">
      <c r="A108" s="232" t="s">
        <v>28</v>
      </c>
      <c r="B108" s="35" t="s">
        <v>132</v>
      </c>
      <c r="C108" s="86" t="s">
        <v>410</v>
      </c>
      <c r="D108" s="218" t="s">
        <v>455</v>
      </c>
      <c r="E108" s="71">
        <f>0</f>
        <v>0</v>
      </c>
      <c r="F108" s="40">
        <f>0</f>
        <v>0</v>
      </c>
      <c r="G108" s="40">
        <f>0</f>
        <v>0</v>
      </c>
      <c r="H108" s="41">
        <f>0</f>
        <v>0</v>
      </c>
      <c r="I108" s="42">
        <f>0</f>
        <v>0</v>
      </c>
      <c r="J108" s="43">
        <f>0</f>
        <v>0</v>
      </c>
      <c r="K108" s="43">
        <f>0</f>
        <v>0</v>
      </c>
      <c r="L108" s="43">
        <f>0</f>
        <v>0</v>
      </c>
      <c r="M108" s="43">
        <f>0</f>
        <v>0</v>
      </c>
      <c r="N108" s="43">
        <f>0</f>
        <v>0</v>
      </c>
      <c r="O108" s="43">
        <f>0</f>
        <v>0</v>
      </c>
      <c r="P108" s="43">
        <f>0</f>
        <v>0</v>
      </c>
      <c r="Q108" s="43">
        <f>0</f>
        <v>0</v>
      </c>
    </row>
    <row r="109" spans="1:18" outlineLevel="3">
      <c r="A109" s="232" t="s">
        <v>28</v>
      </c>
      <c r="B109" s="35" t="s">
        <v>133</v>
      </c>
      <c r="C109" s="86" t="s">
        <v>134</v>
      </c>
      <c r="D109" s="218" t="s">
        <v>210</v>
      </c>
      <c r="E109" s="71">
        <f>0</f>
        <v>0</v>
      </c>
      <c r="F109" s="40">
        <f>0</f>
        <v>0</v>
      </c>
      <c r="G109" s="40">
        <f>0</f>
        <v>0</v>
      </c>
      <c r="H109" s="41">
        <f>0</f>
        <v>0</v>
      </c>
      <c r="I109" s="42">
        <f>0</f>
        <v>0</v>
      </c>
      <c r="J109" s="43">
        <f>0</f>
        <v>0</v>
      </c>
      <c r="K109" s="43">
        <f>0</f>
        <v>0</v>
      </c>
      <c r="L109" s="43">
        <f>0</f>
        <v>0</v>
      </c>
      <c r="M109" s="43">
        <f>0</f>
        <v>0</v>
      </c>
      <c r="N109" s="43">
        <f>0</f>
        <v>0</v>
      </c>
      <c r="O109" s="43">
        <f>0</f>
        <v>0</v>
      </c>
      <c r="P109" s="43">
        <f>0</f>
        <v>0</v>
      </c>
      <c r="Q109" s="43">
        <f>0</f>
        <v>0</v>
      </c>
    </row>
    <row r="110" spans="1:18" outlineLevel="2">
      <c r="A110" s="232" t="s">
        <v>28</v>
      </c>
      <c r="B110" s="35" t="s">
        <v>178</v>
      </c>
      <c r="C110" s="86" t="s">
        <v>135</v>
      </c>
      <c r="D110" s="217" t="s">
        <v>462</v>
      </c>
      <c r="E110" s="71">
        <f>0</f>
        <v>0</v>
      </c>
      <c r="F110" s="40">
        <f>0</f>
        <v>0</v>
      </c>
      <c r="G110" s="40">
        <f>0</f>
        <v>0</v>
      </c>
      <c r="H110" s="41">
        <f>0</f>
        <v>0</v>
      </c>
      <c r="I110" s="42">
        <f>0</f>
        <v>0</v>
      </c>
      <c r="J110" s="43">
        <f>0</f>
        <v>0</v>
      </c>
      <c r="K110" s="43">
        <f>0</f>
        <v>0</v>
      </c>
      <c r="L110" s="43">
        <f>0</f>
        <v>0</v>
      </c>
      <c r="M110" s="43">
        <f>0</f>
        <v>0</v>
      </c>
      <c r="N110" s="43">
        <f>0</f>
        <v>0</v>
      </c>
      <c r="O110" s="43">
        <f>0</f>
        <v>0</v>
      </c>
      <c r="P110" s="43">
        <f>0</f>
        <v>0</v>
      </c>
      <c r="Q110" s="43">
        <f>0</f>
        <v>0</v>
      </c>
    </row>
    <row r="111" spans="1:18" s="268" customFormat="1" outlineLevel="1">
      <c r="A111" s="274"/>
      <c r="B111" s="34">
        <v>15</v>
      </c>
      <c r="C111" s="289" t="s">
        <v>411</v>
      </c>
      <c r="D111" s="216" t="s">
        <v>411</v>
      </c>
      <c r="E111" s="73" t="s">
        <v>28</v>
      </c>
      <c r="F111" s="50" t="s">
        <v>28</v>
      </c>
      <c r="G111" s="50" t="s">
        <v>28</v>
      </c>
      <c r="H111" s="51" t="s">
        <v>28</v>
      </c>
      <c r="I111" s="52" t="s">
        <v>28</v>
      </c>
      <c r="J111" s="53" t="s">
        <v>28</v>
      </c>
      <c r="K111" s="53" t="s">
        <v>28</v>
      </c>
      <c r="L111" s="53" t="s">
        <v>28</v>
      </c>
      <c r="M111" s="53" t="s">
        <v>28</v>
      </c>
      <c r="N111" s="53" t="s">
        <v>28</v>
      </c>
      <c r="O111" s="53" t="s">
        <v>28</v>
      </c>
      <c r="P111" s="53" t="s">
        <v>28</v>
      </c>
      <c r="Q111" s="53" t="s">
        <v>28</v>
      </c>
    </row>
    <row r="112" spans="1:18" s="268" customFormat="1" outlineLevel="2">
      <c r="A112" s="274"/>
      <c r="B112" s="35" t="s">
        <v>412</v>
      </c>
      <c r="C112" s="86" t="s">
        <v>413</v>
      </c>
      <c r="D112" s="217" t="s">
        <v>457</v>
      </c>
      <c r="E112" s="71">
        <f>0</f>
        <v>0</v>
      </c>
      <c r="F112" s="40">
        <f>0</f>
        <v>0</v>
      </c>
      <c r="G112" s="40">
        <f>0</f>
        <v>0</v>
      </c>
      <c r="H112" s="41">
        <f>0</f>
        <v>0</v>
      </c>
      <c r="I112" s="42">
        <f>0</f>
        <v>0</v>
      </c>
      <c r="J112" s="43">
        <f>0</f>
        <v>0</v>
      </c>
      <c r="K112" s="43">
        <f>0</f>
        <v>0</v>
      </c>
      <c r="L112" s="43">
        <f>0</f>
        <v>0</v>
      </c>
      <c r="M112" s="43">
        <f>0</f>
        <v>0</v>
      </c>
      <c r="N112" s="43">
        <f>0</f>
        <v>0</v>
      </c>
      <c r="O112" s="43">
        <f>0</f>
        <v>0</v>
      </c>
      <c r="P112" s="43">
        <f>0</f>
        <v>0</v>
      </c>
      <c r="Q112" s="43">
        <f>0</f>
        <v>0</v>
      </c>
    </row>
    <row r="113" spans="1:18" s="268" customFormat="1" outlineLevel="3">
      <c r="A113" s="274" t="s">
        <v>28</v>
      </c>
      <c r="B113" s="35" t="s">
        <v>414</v>
      </c>
      <c r="C113" s="86" t="s">
        <v>415</v>
      </c>
      <c r="D113" s="218" t="s">
        <v>456</v>
      </c>
      <c r="E113" s="71">
        <f>0</f>
        <v>0</v>
      </c>
      <c r="F113" s="40">
        <f>0</f>
        <v>0</v>
      </c>
      <c r="G113" s="40">
        <f>0</f>
        <v>0</v>
      </c>
      <c r="H113" s="41">
        <f>0</f>
        <v>0</v>
      </c>
      <c r="I113" s="42">
        <f>0</f>
        <v>0</v>
      </c>
      <c r="J113" s="43">
        <f>0</f>
        <v>0</v>
      </c>
      <c r="K113" s="43">
        <f>0</f>
        <v>0</v>
      </c>
      <c r="L113" s="43">
        <f>0</f>
        <v>0</v>
      </c>
      <c r="M113" s="43">
        <f>0</f>
        <v>0</v>
      </c>
      <c r="N113" s="43">
        <f>0</f>
        <v>0</v>
      </c>
      <c r="O113" s="43">
        <f>0</f>
        <v>0</v>
      </c>
      <c r="P113" s="43">
        <f>0</f>
        <v>0</v>
      </c>
      <c r="Q113" s="43">
        <f>0</f>
        <v>0</v>
      </c>
    </row>
    <row r="114" spans="1:18" s="268" customFormat="1" ht="24" outlineLevel="2">
      <c r="A114" s="274" t="s">
        <v>28</v>
      </c>
      <c r="B114" s="269" t="s">
        <v>416</v>
      </c>
      <c r="C114" s="290" t="s">
        <v>418</v>
      </c>
      <c r="D114" s="228" t="s">
        <v>418</v>
      </c>
      <c r="E114" s="74">
        <f>0</f>
        <v>0</v>
      </c>
      <c r="F114" s="54">
        <f>0</f>
        <v>0</v>
      </c>
      <c r="G114" s="54">
        <f>0</f>
        <v>0</v>
      </c>
      <c r="H114" s="55">
        <f>0</f>
        <v>0</v>
      </c>
      <c r="I114" s="56">
        <f>0</f>
        <v>0</v>
      </c>
      <c r="J114" s="57">
        <f>0</f>
        <v>0</v>
      </c>
      <c r="K114" s="57">
        <f>0</f>
        <v>0</v>
      </c>
      <c r="L114" s="57">
        <f>0</f>
        <v>0</v>
      </c>
      <c r="M114" s="57">
        <f>0</f>
        <v>0</v>
      </c>
      <c r="N114" s="57">
        <f>0</f>
        <v>0</v>
      </c>
      <c r="O114" s="57">
        <f>0</f>
        <v>0</v>
      </c>
      <c r="P114" s="57">
        <f>0</f>
        <v>0</v>
      </c>
      <c r="Q114" s="57">
        <f>0</f>
        <v>0</v>
      </c>
    </row>
    <row r="115" spans="1:18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78"/>
    </row>
    <row r="116" spans="1:18" ht="15">
      <c r="B116" s="90" t="s">
        <v>212</v>
      </c>
      <c r="C116" s="80"/>
      <c r="D116" s="80"/>
      <c r="E116" s="91"/>
      <c r="F116" s="91"/>
      <c r="G116" s="91"/>
      <c r="H116" s="91"/>
      <c r="I116" s="80"/>
      <c r="J116" s="80"/>
      <c r="K116" s="80"/>
      <c r="L116" s="80"/>
      <c r="M116" s="80"/>
      <c r="N116" s="80"/>
      <c r="O116" s="80"/>
      <c r="P116" s="80"/>
      <c r="Q116" s="80"/>
      <c r="R116" s="78"/>
    </row>
    <row r="117" spans="1:18" ht="15">
      <c r="B117" s="92" t="s">
        <v>323</v>
      </c>
      <c r="C117" s="80"/>
      <c r="D117" s="80"/>
      <c r="E117" s="93"/>
      <c r="F117" s="93"/>
      <c r="G117" s="93"/>
      <c r="H117" s="93"/>
      <c r="I117" s="80"/>
      <c r="J117" s="80"/>
      <c r="K117" s="80"/>
      <c r="L117" s="80"/>
      <c r="M117" s="80"/>
      <c r="N117" s="80"/>
      <c r="O117" s="80"/>
      <c r="P117" s="80"/>
      <c r="Q117" s="80"/>
      <c r="R117" s="78"/>
    </row>
    <row r="118" spans="1:18">
      <c r="B118" s="94"/>
      <c r="C118" s="94"/>
      <c r="D118" s="80"/>
      <c r="E118" s="93"/>
      <c r="F118" s="93"/>
      <c r="G118" s="93"/>
      <c r="H118" s="93"/>
      <c r="I118" s="80"/>
      <c r="J118" s="80"/>
      <c r="K118" s="80"/>
      <c r="L118" s="80"/>
      <c r="M118" s="80"/>
      <c r="N118" s="80"/>
      <c r="O118" s="80"/>
      <c r="P118" s="80"/>
      <c r="Q118" s="80"/>
      <c r="R118" s="78"/>
    </row>
    <row r="119" spans="1:18">
      <c r="B119" s="94"/>
      <c r="C119" s="94"/>
      <c r="D119" s="80"/>
      <c r="E119" s="93"/>
      <c r="F119" s="93"/>
      <c r="G119" s="93"/>
      <c r="H119" s="93"/>
      <c r="I119" s="80"/>
      <c r="J119" s="80"/>
      <c r="K119" s="80"/>
      <c r="L119" s="80"/>
      <c r="M119" s="80"/>
      <c r="N119" s="80"/>
      <c r="O119" s="80"/>
      <c r="P119" s="80"/>
      <c r="Q119" s="80"/>
      <c r="R119" s="78"/>
    </row>
    <row r="120" spans="1:18" ht="15">
      <c r="B120" s="95" t="s">
        <v>308</v>
      </c>
      <c r="C120" s="95"/>
      <c r="D120" s="95"/>
      <c r="E120" s="96"/>
      <c r="F120" s="96"/>
      <c r="G120" s="96"/>
      <c r="H120" s="93"/>
      <c r="I120" s="80"/>
      <c r="J120" s="80"/>
      <c r="K120" s="80"/>
      <c r="L120" s="80"/>
      <c r="M120" s="80"/>
      <c r="N120" s="80"/>
      <c r="O120" s="80"/>
      <c r="P120" s="80"/>
      <c r="Q120" s="80"/>
      <c r="R120" s="78"/>
    </row>
    <row r="121" spans="1:18" outlineLevel="1">
      <c r="B121" s="97"/>
      <c r="C121" s="97"/>
      <c r="D121" s="98" t="s">
        <v>309</v>
      </c>
      <c r="E121" s="93"/>
      <c r="F121" s="93"/>
      <c r="G121" s="93"/>
      <c r="H121" s="93"/>
      <c r="I121" s="80"/>
      <c r="J121" s="80"/>
      <c r="K121" s="80"/>
      <c r="L121" s="80"/>
      <c r="M121" s="80"/>
      <c r="N121" s="80"/>
      <c r="O121" s="80"/>
      <c r="P121" s="80"/>
      <c r="Q121" s="80"/>
      <c r="R121" s="78"/>
    </row>
    <row r="122" spans="1:18" outlineLevel="1">
      <c r="B122" s="97"/>
      <c r="C122" s="97"/>
      <c r="D122" s="99" t="s">
        <v>310</v>
      </c>
      <c r="E122" s="93"/>
      <c r="F122" s="93"/>
      <c r="G122" s="93"/>
      <c r="H122" s="93"/>
      <c r="I122" s="80"/>
      <c r="J122" s="80"/>
      <c r="K122" s="80"/>
      <c r="L122" s="80"/>
      <c r="M122" s="80"/>
      <c r="N122" s="80"/>
      <c r="O122" s="80"/>
      <c r="P122" s="80"/>
      <c r="Q122" s="80"/>
      <c r="R122" s="78"/>
    </row>
    <row r="123" spans="1:18" outlineLevel="1">
      <c r="B123" s="97"/>
      <c r="C123" s="97"/>
      <c r="D123" s="100" t="s">
        <v>265</v>
      </c>
      <c r="E123" s="93"/>
      <c r="F123" s="93"/>
      <c r="G123" s="93"/>
      <c r="H123" s="93"/>
      <c r="I123" s="80"/>
      <c r="J123" s="80"/>
      <c r="K123" s="80"/>
      <c r="L123" s="80"/>
      <c r="M123" s="80"/>
      <c r="N123" s="80"/>
      <c r="O123" s="80"/>
      <c r="P123" s="80"/>
      <c r="Q123" s="80"/>
      <c r="R123" s="78"/>
    </row>
    <row r="124" spans="1:18" outlineLevel="1">
      <c r="B124" s="200"/>
      <c r="C124" s="200"/>
      <c r="D124" s="201" t="s">
        <v>337</v>
      </c>
      <c r="E124" s="93"/>
      <c r="F124" s="93"/>
      <c r="G124" s="93"/>
      <c r="H124" s="93"/>
      <c r="I124" s="80"/>
      <c r="J124" s="80"/>
      <c r="K124" s="80"/>
      <c r="L124" s="80"/>
      <c r="M124" s="80"/>
      <c r="N124" s="80"/>
      <c r="O124" s="80"/>
      <c r="P124" s="80"/>
      <c r="Q124" s="80"/>
      <c r="R124" s="78"/>
    </row>
    <row r="125" spans="1:18" outlineLevel="2">
      <c r="B125" s="220" t="s">
        <v>215</v>
      </c>
      <c r="C125" s="224" t="s">
        <v>215</v>
      </c>
      <c r="D125" s="65" t="s">
        <v>260</v>
      </c>
      <c r="E125" s="252" t="s">
        <v>28</v>
      </c>
      <c r="F125" s="253" t="s">
        <v>28</v>
      </c>
      <c r="G125" s="253" t="s">
        <v>28</v>
      </c>
      <c r="H125" s="254" t="s">
        <v>28</v>
      </c>
      <c r="I125" s="207" t="str">
        <f t="shared" ref="I125:Q125" si="4">IF(ROUND(I11+I33+I35,2)&gt;=ROUND(I22-I25,2),"TAK","NIE")</f>
        <v>TAK</v>
      </c>
      <c r="J125" s="205" t="str">
        <f t="shared" si="4"/>
        <v>TAK</v>
      </c>
      <c r="K125" s="205" t="str">
        <f t="shared" si="4"/>
        <v>TAK</v>
      </c>
      <c r="L125" s="205" t="str">
        <f t="shared" si="4"/>
        <v>TAK</v>
      </c>
      <c r="M125" s="205" t="str">
        <f t="shared" si="4"/>
        <v>TAK</v>
      </c>
      <c r="N125" s="205" t="str">
        <f t="shared" si="4"/>
        <v>TAK</v>
      </c>
      <c r="O125" s="205" t="str">
        <f t="shared" si="4"/>
        <v>TAK</v>
      </c>
      <c r="P125" s="205" t="str">
        <f t="shared" si="4"/>
        <v>TAK</v>
      </c>
      <c r="Q125" s="205" t="str">
        <f t="shared" si="4"/>
        <v>TAK</v>
      </c>
      <c r="R125" s="15"/>
    </row>
    <row r="126" spans="1:18" ht="24" outlineLevel="2">
      <c r="B126" s="221" t="s">
        <v>213</v>
      </c>
      <c r="C126" s="273" t="s">
        <v>213</v>
      </c>
      <c r="D126" s="66" t="s">
        <v>319</v>
      </c>
      <c r="E126" s="255" t="s">
        <v>28</v>
      </c>
      <c r="F126" s="256" t="s">
        <v>28</v>
      </c>
      <c r="G126" s="256" t="s">
        <v>28</v>
      </c>
      <c r="H126" s="257" t="s">
        <v>28</v>
      </c>
      <c r="I126" s="208" t="s">
        <v>28</v>
      </c>
      <c r="J126" s="204" t="s">
        <v>28</v>
      </c>
      <c r="K126" s="204" t="str">
        <f t="shared" ref="K126:Q126" si="5">IF(K98=0,"TAK","BŁĄD")</f>
        <v>TAK</v>
      </c>
      <c r="L126" s="204" t="str">
        <f t="shared" si="5"/>
        <v>TAK</v>
      </c>
      <c r="M126" s="204" t="str">
        <f t="shared" si="5"/>
        <v>TAK</v>
      </c>
      <c r="N126" s="204" t="str">
        <f t="shared" si="5"/>
        <v>TAK</v>
      </c>
      <c r="O126" s="204" t="str">
        <f t="shared" si="5"/>
        <v>TAK</v>
      </c>
      <c r="P126" s="204" t="str">
        <f t="shared" si="5"/>
        <v>TAK</v>
      </c>
      <c r="Q126" s="204" t="str">
        <f t="shared" si="5"/>
        <v>TAK</v>
      </c>
      <c r="R126" s="15"/>
    </row>
    <row r="127" spans="1:18" outlineLevel="1">
      <c r="B127" s="221" t="s">
        <v>214</v>
      </c>
      <c r="C127" s="273" t="s">
        <v>214</v>
      </c>
      <c r="D127" s="67" t="s">
        <v>261</v>
      </c>
      <c r="E127" s="255" t="s">
        <v>28</v>
      </c>
      <c r="F127" s="256" t="s">
        <v>28</v>
      </c>
      <c r="G127" s="256" t="s">
        <v>28</v>
      </c>
      <c r="H127" s="257" t="s">
        <v>28</v>
      </c>
      <c r="I127" s="212" t="str">
        <f t="shared" ref="I127:Q127" si="6">IF(ROUND(I10+I32-I21-I41,2)=0,"OK",ROUND(I10+I32-I21-I41,2))</f>
        <v>OK</v>
      </c>
      <c r="J127" s="213" t="str">
        <f t="shared" si="6"/>
        <v>OK</v>
      </c>
      <c r="K127" s="213" t="str">
        <f t="shared" si="6"/>
        <v>OK</v>
      </c>
      <c r="L127" s="213" t="str">
        <f t="shared" si="6"/>
        <v>OK</v>
      </c>
      <c r="M127" s="213" t="str">
        <f t="shared" si="6"/>
        <v>OK</v>
      </c>
      <c r="N127" s="213" t="str">
        <f t="shared" si="6"/>
        <v>OK</v>
      </c>
      <c r="O127" s="213" t="str">
        <f t="shared" si="6"/>
        <v>OK</v>
      </c>
      <c r="P127" s="213" t="str">
        <f t="shared" si="6"/>
        <v>OK</v>
      </c>
      <c r="Q127" s="213" t="str">
        <f t="shared" si="6"/>
        <v>OK</v>
      </c>
      <c r="R127" s="15"/>
    </row>
    <row r="128" spans="1:18" outlineLevel="2">
      <c r="B128" s="230" t="s">
        <v>339</v>
      </c>
      <c r="C128" s="233" t="s">
        <v>339</v>
      </c>
      <c r="D128" s="67" t="s">
        <v>262</v>
      </c>
      <c r="E128" s="255" t="s">
        <v>28</v>
      </c>
      <c r="F128" s="256" t="s">
        <v>28</v>
      </c>
      <c r="G128" s="256" t="s">
        <v>28</v>
      </c>
      <c r="H128" s="257" t="s">
        <v>28</v>
      </c>
      <c r="I128" s="212" t="str">
        <f t="shared" ref="I128:Q128" si="7">+IF(ROUND(H48+I37-I42+(I105-H105)+I110-I48,2)=0,"OK",ROUND(H48+I37-I42+(I105-H105)+I110-I48,2))</f>
        <v>OK</v>
      </c>
      <c r="J128" s="213" t="str">
        <f t="shared" si="7"/>
        <v>OK</v>
      </c>
      <c r="K128" s="213" t="str">
        <f t="shared" si="7"/>
        <v>OK</v>
      </c>
      <c r="L128" s="213" t="str">
        <f t="shared" si="7"/>
        <v>OK</v>
      </c>
      <c r="M128" s="213" t="str">
        <f t="shared" si="7"/>
        <v>OK</v>
      </c>
      <c r="N128" s="213" t="str">
        <f t="shared" si="7"/>
        <v>OK</v>
      </c>
      <c r="O128" s="213" t="str">
        <f t="shared" si="7"/>
        <v>OK</v>
      </c>
      <c r="P128" s="213" t="str">
        <f t="shared" si="7"/>
        <v>OK</v>
      </c>
      <c r="Q128" s="213" t="str">
        <f t="shared" si="7"/>
        <v>OK</v>
      </c>
      <c r="R128" s="15"/>
    </row>
    <row r="129" spans="1:18" ht="60" outlineLevel="2">
      <c r="B129" s="230" t="s">
        <v>340</v>
      </c>
      <c r="C129" s="233" t="s">
        <v>340</v>
      </c>
      <c r="D129" s="67" t="s">
        <v>348</v>
      </c>
      <c r="E129" s="258" t="s">
        <v>28</v>
      </c>
      <c r="F129" s="256" t="s">
        <v>28</v>
      </c>
      <c r="G129" s="256" t="s">
        <v>28</v>
      </c>
      <c r="H129" s="257" t="s">
        <v>28</v>
      </c>
      <c r="I129" s="213" t="str">
        <f t="shared" ref="I129:Q129" si="8">+IF(H105=0,"N/D",IF(ROUND(I105+I106-H105,2)=0,"OK",ROUND(I105+I106-H105,2)))</f>
        <v>N/D</v>
      </c>
      <c r="J129" s="213" t="str">
        <f t="shared" si="8"/>
        <v>N/D</v>
      </c>
      <c r="K129" s="213" t="str">
        <f t="shared" si="8"/>
        <v>N/D</v>
      </c>
      <c r="L129" s="213" t="str">
        <f t="shared" si="8"/>
        <v>N/D</v>
      </c>
      <c r="M129" s="213" t="str">
        <f t="shared" si="8"/>
        <v>N/D</v>
      </c>
      <c r="N129" s="213" t="str">
        <f t="shared" si="8"/>
        <v>N/D</v>
      </c>
      <c r="O129" s="213" t="str">
        <f t="shared" si="8"/>
        <v>N/D</v>
      </c>
      <c r="P129" s="213" t="str">
        <f t="shared" si="8"/>
        <v>N/D</v>
      </c>
      <c r="Q129" s="213" t="str">
        <f t="shared" si="8"/>
        <v>N/D</v>
      </c>
      <c r="R129" s="15"/>
    </row>
    <row r="130" spans="1:18" ht="36" outlineLevel="2">
      <c r="B130" s="230" t="s">
        <v>342</v>
      </c>
      <c r="C130" s="233" t="s">
        <v>342</v>
      </c>
      <c r="D130" s="67" t="s">
        <v>341</v>
      </c>
      <c r="E130" s="255" t="s">
        <v>28</v>
      </c>
      <c r="F130" s="256" t="s">
        <v>28</v>
      </c>
      <c r="G130" s="256" t="s">
        <v>28</v>
      </c>
      <c r="H130" s="257" t="s">
        <v>28</v>
      </c>
      <c r="I130" s="212" t="str">
        <f t="shared" ref="I130:Q130" si="9">+IF(H96=0,"N/D",IF(ROUND(I96+(I98+I99+I100+I101)-H96,2)=0,"OK",ROUND(I96+(I98+I99+I100+I101)-H96,2)))</f>
        <v>N/D</v>
      </c>
      <c r="J130" s="213" t="str">
        <f t="shared" si="9"/>
        <v>N/D</v>
      </c>
      <c r="K130" s="213" t="str">
        <f t="shared" si="9"/>
        <v>N/D</v>
      </c>
      <c r="L130" s="213" t="str">
        <f t="shared" si="9"/>
        <v>N/D</v>
      </c>
      <c r="M130" s="213" t="str">
        <f t="shared" si="9"/>
        <v>N/D</v>
      </c>
      <c r="N130" s="213" t="str">
        <f t="shared" si="9"/>
        <v>N/D</v>
      </c>
      <c r="O130" s="213" t="str">
        <f t="shared" si="9"/>
        <v>N/D</v>
      </c>
      <c r="P130" s="213" t="str">
        <f t="shared" si="9"/>
        <v>N/D</v>
      </c>
      <c r="Q130" s="213" t="str">
        <f t="shared" si="9"/>
        <v>N/D</v>
      </c>
      <c r="R130" s="15"/>
    </row>
    <row r="131" spans="1:18" outlineLevel="1">
      <c r="B131" s="221" t="s">
        <v>216</v>
      </c>
      <c r="C131" s="273" t="s">
        <v>216</v>
      </c>
      <c r="D131" s="68" t="s">
        <v>263</v>
      </c>
      <c r="E131" s="255" t="s">
        <v>28</v>
      </c>
      <c r="F131" s="256" t="s">
        <v>28</v>
      </c>
      <c r="G131" s="256" t="s">
        <v>28</v>
      </c>
      <c r="H131" s="257" t="s">
        <v>28</v>
      </c>
      <c r="I131" s="210" t="str">
        <f t="shared" ref="I131:Q131" si="10">IF(I31&lt;0,IF(ROUND(I34+I36+I38+I40+I31,2)=0,"OK",ROUND(I34+I36+I38+I40+I31,2)),"N/D")</f>
        <v>OK</v>
      </c>
      <c r="J131" s="211" t="str">
        <f t="shared" si="10"/>
        <v>N/D</v>
      </c>
      <c r="K131" s="211" t="str">
        <f t="shared" si="10"/>
        <v>N/D</v>
      </c>
      <c r="L131" s="211" t="str">
        <f t="shared" si="10"/>
        <v>N/D</v>
      </c>
      <c r="M131" s="211" t="str">
        <f t="shared" si="10"/>
        <v>N/D</v>
      </c>
      <c r="N131" s="211" t="str">
        <f t="shared" si="10"/>
        <v>N/D</v>
      </c>
      <c r="O131" s="211" t="str">
        <f t="shared" si="10"/>
        <v>N/D</v>
      </c>
      <c r="P131" s="211" t="str">
        <f t="shared" si="10"/>
        <v>N/D</v>
      </c>
      <c r="Q131" s="211" t="str">
        <f t="shared" si="10"/>
        <v>N/D</v>
      </c>
      <c r="R131" s="15"/>
    </row>
    <row r="132" spans="1:18" outlineLevel="2">
      <c r="B132" s="221" t="s">
        <v>217</v>
      </c>
      <c r="C132" s="273" t="s">
        <v>217</v>
      </c>
      <c r="D132" s="68" t="s">
        <v>264</v>
      </c>
      <c r="E132" s="255" t="s">
        <v>28</v>
      </c>
      <c r="F132" s="256" t="s">
        <v>28</v>
      </c>
      <c r="G132" s="256" t="s">
        <v>28</v>
      </c>
      <c r="H132" s="257" t="s">
        <v>28</v>
      </c>
      <c r="I132" s="210" t="str">
        <f t="shared" ref="I132:Q132" si="11">IF(I31&gt;=0,IF(ROUND(I34+I36+I38+I40,2)=0,"OK",ROUND(I34+I36+I38+I40,2)),"N/D")</f>
        <v>N/D</v>
      </c>
      <c r="J132" s="211" t="str">
        <f t="shared" si="11"/>
        <v>OK</v>
      </c>
      <c r="K132" s="211" t="str">
        <f t="shared" si="11"/>
        <v>OK</v>
      </c>
      <c r="L132" s="211" t="str">
        <f t="shared" si="11"/>
        <v>OK</v>
      </c>
      <c r="M132" s="211" t="str">
        <f t="shared" si="11"/>
        <v>OK</v>
      </c>
      <c r="N132" s="211" t="str">
        <f t="shared" si="11"/>
        <v>OK</v>
      </c>
      <c r="O132" s="211" t="str">
        <f t="shared" si="11"/>
        <v>OK</v>
      </c>
      <c r="P132" s="211" t="str">
        <f t="shared" si="11"/>
        <v>OK</v>
      </c>
      <c r="Q132" s="211" t="str">
        <f t="shared" si="11"/>
        <v>OK</v>
      </c>
      <c r="R132" s="15"/>
    </row>
    <row r="133" spans="1:18" outlineLevel="2">
      <c r="B133" s="221" t="s">
        <v>218</v>
      </c>
      <c r="C133" s="273" t="s">
        <v>218</v>
      </c>
      <c r="D133" s="68" t="s">
        <v>266</v>
      </c>
      <c r="E133" s="255" t="s">
        <v>28</v>
      </c>
      <c r="F133" s="256" t="s">
        <v>28</v>
      </c>
      <c r="G133" s="256" t="s">
        <v>28</v>
      </c>
      <c r="H133" s="257" t="s">
        <v>28</v>
      </c>
      <c r="I133" s="208" t="str">
        <f t="shared" ref="I133:Q133" si="12">IF(I14&gt;=I15,"OK","BŁĄD")</f>
        <v>OK</v>
      </c>
      <c r="J133" s="204" t="str">
        <f t="shared" si="12"/>
        <v>OK</v>
      </c>
      <c r="K133" s="204" t="str">
        <f t="shared" si="12"/>
        <v>OK</v>
      </c>
      <c r="L133" s="204" t="str">
        <f t="shared" si="12"/>
        <v>OK</v>
      </c>
      <c r="M133" s="204" t="str">
        <f t="shared" si="12"/>
        <v>OK</v>
      </c>
      <c r="N133" s="204" t="str">
        <f t="shared" si="12"/>
        <v>OK</v>
      </c>
      <c r="O133" s="204" t="str">
        <f t="shared" si="12"/>
        <v>OK</v>
      </c>
      <c r="P133" s="204" t="str">
        <f t="shared" si="12"/>
        <v>OK</v>
      </c>
      <c r="Q133" s="204" t="str">
        <f t="shared" si="12"/>
        <v>OK</v>
      </c>
      <c r="R133" s="15"/>
    </row>
    <row r="134" spans="1:18" outlineLevel="2">
      <c r="B134" s="221" t="s">
        <v>219</v>
      </c>
      <c r="C134" s="273" t="s">
        <v>219</v>
      </c>
      <c r="D134" s="68" t="s">
        <v>267</v>
      </c>
      <c r="E134" s="255" t="s">
        <v>28</v>
      </c>
      <c r="F134" s="256" t="s">
        <v>28</v>
      </c>
      <c r="G134" s="256" t="s">
        <v>28</v>
      </c>
      <c r="H134" s="257" t="s">
        <v>28</v>
      </c>
      <c r="I134" s="208" t="str">
        <f t="shared" ref="I134:Q134" si="13">IF(I17&gt;=I97,"OK","BŁĄD")</f>
        <v>OK</v>
      </c>
      <c r="J134" s="204" t="str">
        <f t="shared" si="13"/>
        <v>OK</v>
      </c>
      <c r="K134" s="204" t="str">
        <f t="shared" si="13"/>
        <v>OK</v>
      </c>
      <c r="L134" s="204" t="str">
        <f t="shared" si="13"/>
        <v>OK</v>
      </c>
      <c r="M134" s="204" t="str">
        <f t="shared" si="13"/>
        <v>OK</v>
      </c>
      <c r="N134" s="204" t="str">
        <f t="shared" si="13"/>
        <v>OK</v>
      </c>
      <c r="O134" s="204" t="str">
        <f t="shared" si="13"/>
        <v>OK</v>
      </c>
      <c r="P134" s="204" t="str">
        <f t="shared" si="13"/>
        <v>OK</v>
      </c>
      <c r="Q134" s="204" t="str">
        <f t="shared" si="13"/>
        <v>OK</v>
      </c>
      <c r="R134" s="15"/>
    </row>
    <row r="135" spans="1:18" outlineLevel="2">
      <c r="B135" s="221" t="s">
        <v>220</v>
      </c>
      <c r="C135" s="273" t="s">
        <v>220</v>
      </c>
      <c r="D135" s="68" t="s">
        <v>268</v>
      </c>
      <c r="E135" s="255" t="s">
        <v>28</v>
      </c>
      <c r="F135" s="256" t="s">
        <v>28</v>
      </c>
      <c r="G135" s="256" t="s">
        <v>28</v>
      </c>
      <c r="H135" s="257" t="s">
        <v>28</v>
      </c>
      <c r="I135" s="208" t="str">
        <f t="shared" ref="I135:Q135" si="14">IF(I11&gt;=I12+I13+I14+I16+I17,"OK","BŁĄD")</f>
        <v>OK</v>
      </c>
      <c r="J135" s="204" t="str">
        <f t="shared" si="14"/>
        <v>OK</v>
      </c>
      <c r="K135" s="204" t="str">
        <f t="shared" si="14"/>
        <v>OK</v>
      </c>
      <c r="L135" s="204" t="str">
        <f t="shared" si="14"/>
        <v>OK</v>
      </c>
      <c r="M135" s="204" t="str">
        <f t="shared" si="14"/>
        <v>OK</v>
      </c>
      <c r="N135" s="204" t="str">
        <f t="shared" si="14"/>
        <v>OK</v>
      </c>
      <c r="O135" s="204" t="str">
        <f t="shared" si="14"/>
        <v>OK</v>
      </c>
      <c r="P135" s="204" t="str">
        <f t="shared" si="14"/>
        <v>OK</v>
      </c>
      <c r="Q135" s="204" t="str">
        <f t="shared" si="14"/>
        <v>OK</v>
      </c>
      <c r="R135" s="15"/>
    </row>
    <row r="136" spans="1:18" outlineLevel="2">
      <c r="B136" s="221" t="s">
        <v>221</v>
      </c>
      <c r="C136" s="273" t="s">
        <v>221</v>
      </c>
      <c r="D136" s="68" t="s">
        <v>269</v>
      </c>
      <c r="E136" s="255" t="s">
        <v>28</v>
      </c>
      <c r="F136" s="256" t="s">
        <v>28</v>
      </c>
      <c r="G136" s="256" t="s">
        <v>28</v>
      </c>
      <c r="H136" s="257" t="s">
        <v>28</v>
      </c>
      <c r="I136" s="208" t="str">
        <f t="shared" ref="I136:Q136" si="15">IF(I11&gt;=I75,"OK","BŁĄD")</f>
        <v>OK</v>
      </c>
      <c r="J136" s="204" t="str">
        <f t="shared" si="15"/>
        <v>OK</v>
      </c>
      <c r="K136" s="204" t="str">
        <f t="shared" si="15"/>
        <v>OK</v>
      </c>
      <c r="L136" s="204" t="str">
        <f t="shared" si="15"/>
        <v>OK</v>
      </c>
      <c r="M136" s="204" t="str">
        <f t="shared" si="15"/>
        <v>OK</v>
      </c>
      <c r="N136" s="204" t="str">
        <f t="shared" si="15"/>
        <v>OK</v>
      </c>
      <c r="O136" s="204" t="str">
        <f t="shared" si="15"/>
        <v>OK</v>
      </c>
      <c r="P136" s="204" t="str">
        <f t="shared" si="15"/>
        <v>OK</v>
      </c>
      <c r="Q136" s="204" t="str">
        <f t="shared" si="15"/>
        <v>OK</v>
      </c>
      <c r="R136" s="15"/>
    </row>
    <row r="137" spans="1:18" outlineLevel="2">
      <c r="B137" s="221" t="s">
        <v>222</v>
      </c>
      <c r="C137" s="273" t="s">
        <v>222</v>
      </c>
      <c r="D137" s="68" t="s">
        <v>270</v>
      </c>
      <c r="E137" s="255" t="s">
        <v>28</v>
      </c>
      <c r="F137" s="256" t="s">
        <v>28</v>
      </c>
      <c r="G137" s="256" t="s">
        <v>28</v>
      </c>
      <c r="H137" s="257" t="s">
        <v>28</v>
      </c>
      <c r="I137" s="208" t="str">
        <f t="shared" ref="I137:Q137" si="16">IF(I18&gt;=I19,"OK","BŁĄD")</f>
        <v>OK</v>
      </c>
      <c r="J137" s="204" t="str">
        <f t="shared" si="16"/>
        <v>OK</v>
      </c>
      <c r="K137" s="204" t="str">
        <f t="shared" si="16"/>
        <v>OK</v>
      </c>
      <c r="L137" s="204" t="str">
        <f t="shared" si="16"/>
        <v>OK</v>
      </c>
      <c r="M137" s="204" t="str">
        <f t="shared" si="16"/>
        <v>OK</v>
      </c>
      <c r="N137" s="204" t="str">
        <f t="shared" si="16"/>
        <v>OK</v>
      </c>
      <c r="O137" s="204" t="str">
        <f t="shared" si="16"/>
        <v>OK</v>
      </c>
      <c r="P137" s="204" t="str">
        <f t="shared" si="16"/>
        <v>OK</v>
      </c>
      <c r="Q137" s="204" t="str">
        <f t="shared" si="16"/>
        <v>OK</v>
      </c>
      <c r="R137" s="15"/>
    </row>
    <row r="138" spans="1:18" outlineLevel="2">
      <c r="B138" s="221" t="s">
        <v>223</v>
      </c>
      <c r="C138" s="273" t="s">
        <v>223</v>
      </c>
      <c r="D138" s="68" t="s">
        <v>271</v>
      </c>
      <c r="E138" s="255" t="s">
        <v>28</v>
      </c>
      <c r="F138" s="256" t="s">
        <v>28</v>
      </c>
      <c r="G138" s="256" t="s">
        <v>28</v>
      </c>
      <c r="H138" s="257" t="s">
        <v>28</v>
      </c>
      <c r="I138" s="208" t="str">
        <f t="shared" ref="I138:Q138" si="17">IF(I18&gt;=I20,"OK","BŁĄD")</f>
        <v>OK</v>
      </c>
      <c r="J138" s="204" t="str">
        <f t="shared" si="17"/>
        <v>OK</v>
      </c>
      <c r="K138" s="204" t="str">
        <f t="shared" si="17"/>
        <v>OK</v>
      </c>
      <c r="L138" s="204" t="str">
        <f t="shared" si="17"/>
        <v>OK</v>
      </c>
      <c r="M138" s="204" t="str">
        <f t="shared" si="17"/>
        <v>OK</v>
      </c>
      <c r="N138" s="204" t="str">
        <f t="shared" si="17"/>
        <v>OK</v>
      </c>
      <c r="O138" s="204" t="str">
        <f t="shared" si="17"/>
        <v>OK</v>
      </c>
      <c r="P138" s="204" t="str">
        <f t="shared" si="17"/>
        <v>OK</v>
      </c>
      <c r="Q138" s="204" t="str">
        <f t="shared" si="17"/>
        <v>OK</v>
      </c>
      <c r="R138" s="15"/>
    </row>
    <row r="139" spans="1:18" outlineLevel="2">
      <c r="B139" s="221" t="s">
        <v>224</v>
      </c>
      <c r="C139" s="273" t="s">
        <v>224</v>
      </c>
      <c r="D139" s="68" t="s">
        <v>272</v>
      </c>
      <c r="E139" s="255" t="s">
        <v>28</v>
      </c>
      <c r="F139" s="256" t="s">
        <v>28</v>
      </c>
      <c r="G139" s="256" t="s">
        <v>28</v>
      </c>
      <c r="H139" s="257" t="s">
        <v>28</v>
      </c>
      <c r="I139" s="208" t="str">
        <f t="shared" ref="I139:Q139" si="18">IF(I18&gt;=I78,"OK","BŁĄD")</f>
        <v>OK</v>
      </c>
      <c r="J139" s="204" t="str">
        <f t="shared" si="18"/>
        <v>OK</v>
      </c>
      <c r="K139" s="204" t="str">
        <f t="shared" si="18"/>
        <v>OK</v>
      </c>
      <c r="L139" s="204" t="str">
        <f t="shared" si="18"/>
        <v>OK</v>
      </c>
      <c r="M139" s="204" t="str">
        <f t="shared" si="18"/>
        <v>OK</v>
      </c>
      <c r="N139" s="204" t="str">
        <f t="shared" si="18"/>
        <v>OK</v>
      </c>
      <c r="O139" s="204" t="str">
        <f t="shared" si="18"/>
        <v>OK</v>
      </c>
      <c r="P139" s="204" t="str">
        <f t="shared" si="18"/>
        <v>OK</v>
      </c>
      <c r="Q139" s="204" t="str">
        <f t="shared" si="18"/>
        <v>OK</v>
      </c>
      <c r="R139" s="15"/>
    </row>
    <row r="140" spans="1:18" s="268" customFormat="1" outlineLevel="2">
      <c r="A140" s="274"/>
      <c r="B140" s="271"/>
      <c r="C140" s="273"/>
      <c r="D140" s="270" t="s">
        <v>352</v>
      </c>
      <c r="E140" s="275" t="s">
        <v>28</v>
      </c>
      <c r="F140" s="276" t="s">
        <v>28</v>
      </c>
      <c r="G140" s="276" t="s">
        <v>28</v>
      </c>
      <c r="H140" s="277" t="s">
        <v>28</v>
      </c>
      <c r="I140" s="208" t="str">
        <f t="shared" ref="I140:Q140" si="19">+IF(I31&gt;0,IF(I31=I63,"OK","Błąd"),"N/D")</f>
        <v>N/D</v>
      </c>
      <c r="J140" s="208" t="str">
        <f t="shared" si="19"/>
        <v>OK</v>
      </c>
      <c r="K140" s="208" t="str">
        <f t="shared" si="19"/>
        <v>OK</v>
      </c>
      <c r="L140" s="208" t="str">
        <f t="shared" si="19"/>
        <v>OK</v>
      </c>
      <c r="M140" s="208" t="str">
        <f t="shared" si="19"/>
        <v>OK</v>
      </c>
      <c r="N140" s="208" t="str">
        <f t="shared" si="19"/>
        <v>OK</v>
      </c>
      <c r="O140" s="208" t="str">
        <f t="shared" si="19"/>
        <v>OK</v>
      </c>
      <c r="P140" s="208" t="str">
        <f t="shared" si="19"/>
        <v>OK</v>
      </c>
      <c r="Q140" s="208" t="str">
        <f t="shared" si="19"/>
        <v>OK</v>
      </c>
    </row>
    <row r="141" spans="1:18" outlineLevel="2">
      <c r="B141" s="221" t="s">
        <v>225</v>
      </c>
      <c r="C141" s="273" t="s">
        <v>225</v>
      </c>
      <c r="D141" s="68" t="s">
        <v>273</v>
      </c>
      <c r="E141" s="255" t="s">
        <v>28</v>
      </c>
      <c r="F141" s="256" t="s">
        <v>28</v>
      </c>
      <c r="G141" s="256" t="s">
        <v>28</v>
      </c>
      <c r="H141" s="257" t="s">
        <v>28</v>
      </c>
      <c r="I141" s="208" t="str">
        <f t="shared" ref="I141:Q141" si="20">IF(I63&gt;=I64,"OK","BŁĄD")</f>
        <v>OK</v>
      </c>
      <c r="J141" s="204" t="str">
        <f t="shared" si="20"/>
        <v>OK</v>
      </c>
      <c r="K141" s="204" t="str">
        <f t="shared" si="20"/>
        <v>OK</v>
      </c>
      <c r="L141" s="204" t="str">
        <f t="shared" si="20"/>
        <v>OK</v>
      </c>
      <c r="M141" s="204" t="str">
        <f t="shared" si="20"/>
        <v>OK</v>
      </c>
      <c r="N141" s="204" t="str">
        <f t="shared" si="20"/>
        <v>OK</v>
      </c>
      <c r="O141" s="204" t="str">
        <f t="shared" si="20"/>
        <v>OK</v>
      </c>
      <c r="P141" s="204" t="str">
        <f t="shared" si="20"/>
        <v>OK</v>
      </c>
      <c r="Q141" s="204" t="str">
        <f t="shared" si="20"/>
        <v>OK</v>
      </c>
      <c r="R141" s="15"/>
    </row>
    <row r="142" spans="1:18" s="64" customFormat="1" outlineLevel="2">
      <c r="A142" s="232"/>
      <c r="B142" s="221"/>
      <c r="C142" s="273" t="s">
        <v>351</v>
      </c>
      <c r="D142" s="68" t="s">
        <v>350</v>
      </c>
      <c r="E142" s="255" t="s">
        <v>28</v>
      </c>
      <c r="F142" s="256" t="s">
        <v>28</v>
      </c>
      <c r="G142" s="256" t="s">
        <v>28</v>
      </c>
      <c r="H142" s="257" t="s">
        <v>28</v>
      </c>
      <c r="I142" s="208" t="str">
        <f t="shared" ref="I142:Q142" si="21">IF(I63&gt;0,IF(I64&gt;0,"OK","BŁĄD"),"N/D")</f>
        <v>N/D</v>
      </c>
      <c r="J142" s="204" t="str">
        <f t="shared" si="21"/>
        <v>OK</v>
      </c>
      <c r="K142" s="204" t="str">
        <f t="shared" si="21"/>
        <v>OK</v>
      </c>
      <c r="L142" s="204" t="str">
        <f t="shared" si="21"/>
        <v>OK</v>
      </c>
      <c r="M142" s="204" t="str">
        <f t="shared" si="21"/>
        <v>OK</v>
      </c>
      <c r="N142" s="204" t="str">
        <f t="shared" si="21"/>
        <v>OK</v>
      </c>
      <c r="O142" s="204" t="str">
        <f t="shared" si="21"/>
        <v>OK</v>
      </c>
      <c r="P142" s="204" t="str">
        <f t="shared" si="21"/>
        <v>OK</v>
      </c>
      <c r="Q142" s="204" t="str">
        <f t="shared" si="21"/>
        <v>OK</v>
      </c>
    </row>
    <row r="143" spans="1:18" outlineLevel="2">
      <c r="B143" s="221" t="s">
        <v>227</v>
      </c>
      <c r="C143" s="273" t="s">
        <v>227</v>
      </c>
      <c r="D143" s="68" t="s">
        <v>275</v>
      </c>
      <c r="E143" s="255" t="s">
        <v>28</v>
      </c>
      <c r="F143" s="256" t="s">
        <v>28</v>
      </c>
      <c r="G143" s="256" t="s">
        <v>28</v>
      </c>
      <c r="H143" s="257" t="s">
        <v>28</v>
      </c>
      <c r="I143" s="208" t="str">
        <f t="shared" ref="I143:Q143" si="22">IF(I75&gt;=I76,"OK","BŁĄD")</f>
        <v>OK</v>
      </c>
      <c r="J143" s="204" t="str">
        <f t="shared" si="22"/>
        <v>OK</v>
      </c>
      <c r="K143" s="204" t="str">
        <f t="shared" si="22"/>
        <v>OK</v>
      </c>
      <c r="L143" s="204" t="str">
        <f t="shared" si="22"/>
        <v>OK</v>
      </c>
      <c r="M143" s="204" t="str">
        <f t="shared" si="22"/>
        <v>OK</v>
      </c>
      <c r="N143" s="204" t="str">
        <f t="shared" si="22"/>
        <v>OK</v>
      </c>
      <c r="O143" s="204" t="str">
        <f t="shared" si="22"/>
        <v>OK</v>
      </c>
      <c r="P143" s="204" t="str">
        <f t="shared" si="22"/>
        <v>OK</v>
      </c>
      <c r="Q143" s="204" t="str">
        <f t="shared" si="22"/>
        <v>OK</v>
      </c>
      <c r="R143" s="15"/>
    </row>
    <row r="144" spans="1:18" outlineLevel="2">
      <c r="B144" s="221" t="s">
        <v>226</v>
      </c>
      <c r="C144" s="273" t="s">
        <v>226</v>
      </c>
      <c r="D144" s="68" t="s">
        <v>274</v>
      </c>
      <c r="E144" s="255" t="s">
        <v>28</v>
      </c>
      <c r="F144" s="256" t="s">
        <v>28</v>
      </c>
      <c r="G144" s="256" t="s">
        <v>28</v>
      </c>
      <c r="H144" s="257" t="s">
        <v>28</v>
      </c>
      <c r="I144" s="208" t="str">
        <f t="shared" ref="I144:Q144" si="23">IF(I76&gt;=I77,"OK","BŁĄD")</f>
        <v>OK</v>
      </c>
      <c r="J144" s="204" t="str">
        <f t="shared" si="23"/>
        <v>OK</v>
      </c>
      <c r="K144" s="204" t="str">
        <f t="shared" si="23"/>
        <v>OK</v>
      </c>
      <c r="L144" s="204" t="str">
        <f t="shared" si="23"/>
        <v>OK</v>
      </c>
      <c r="M144" s="204" t="str">
        <f t="shared" si="23"/>
        <v>OK</v>
      </c>
      <c r="N144" s="204" t="str">
        <f t="shared" si="23"/>
        <v>OK</v>
      </c>
      <c r="O144" s="204" t="str">
        <f t="shared" si="23"/>
        <v>OK</v>
      </c>
      <c r="P144" s="204" t="str">
        <f t="shared" si="23"/>
        <v>OK</v>
      </c>
      <c r="Q144" s="204" t="str">
        <f t="shared" si="23"/>
        <v>OK</v>
      </c>
      <c r="R144" s="15"/>
    </row>
    <row r="145" spans="1:18" outlineLevel="2">
      <c r="B145" s="221" t="s">
        <v>229</v>
      </c>
      <c r="C145" s="273" t="s">
        <v>229</v>
      </c>
      <c r="D145" s="68" t="s">
        <v>277</v>
      </c>
      <c r="E145" s="255" t="s">
        <v>28</v>
      </c>
      <c r="F145" s="256" t="s">
        <v>28</v>
      </c>
      <c r="G145" s="256" t="s">
        <v>28</v>
      </c>
      <c r="H145" s="257" t="s">
        <v>28</v>
      </c>
      <c r="I145" s="208" t="str">
        <f t="shared" ref="I145:Q145" si="24">IF(I78&gt;=I79,"OK","BŁĄD")</f>
        <v>OK</v>
      </c>
      <c r="J145" s="204" t="str">
        <f t="shared" si="24"/>
        <v>OK</v>
      </c>
      <c r="K145" s="204" t="str">
        <f t="shared" si="24"/>
        <v>OK</v>
      </c>
      <c r="L145" s="204" t="str">
        <f t="shared" si="24"/>
        <v>OK</v>
      </c>
      <c r="M145" s="204" t="str">
        <f t="shared" si="24"/>
        <v>OK</v>
      </c>
      <c r="N145" s="204" t="str">
        <f t="shared" si="24"/>
        <v>OK</v>
      </c>
      <c r="O145" s="204" t="str">
        <f t="shared" si="24"/>
        <v>OK</v>
      </c>
      <c r="P145" s="204" t="str">
        <f t="shared" si="24"/>
        <v>OK</v>
      </c>
      <c r="Q145" s="204" t="str">
        <f t="shared" si="24"/>
        <v>OK</v>
      </c>
      <c r="R145" s="15"/>
    </row>
    <row r="146" spans="1:18" outlineLevel="2">
      <c r="B146" s="221" t="s">
        <v>228</v>
      </c>
      <c r="C146" s="273" t="s">
        <v>228</v>
      </c>
      <c r="D146" s="68" t="s">
        <v>276</v>
      </c>
      <c r="E146" s="255" t="s">
        <v>28</v>
      </c>
      <c r="F146" s="256" t="s">
        <v>28</v>
      </c>
      <c r="G146" s="256" t="s">
        <v>28</v>
      </c>
      <c r="H146" s="257" t="s">
        <v>28</v>
      </c>
      <c r="I146" s="208" t="str">
        <f t="shared" ref="I146:Q146" si="25">IF(I79&gt;=I80,"OK","BŁĄD")</f>
        <v>OK</v>
      </c>
      <c r="J146" s="204" t="str">
        <f t="shared" si="25"/>
        <v>OK</v>
      </c>
      <c r="K146" s="204" t="str">
        <f t="shared" si="25"/>
        <v>OK</v>
      </c>
      <c r="L146" s="204" t="str">
        <f t="shared" si="25"/>
        <v>OK</v>
      </c>
      <c r="M146" s="204" t="str">
        <f t="shared" si="25"/>
        <v>OK</v>
      </c>
      <c r="N146" s="204" t="str">
        <f t="shared" si="25"/>
        <v>OK</v>
      </c>
      <c r="O146" s="204" t="str">
        <f t="shared" si="25"/>
        <v>OK</v>
      </c>
      <c r="P146" s="204" t="str">
        <f t="shared" si="25"/>
        <v>OK</v>
      </c>
      <c r="Q146" s="204" t="str">
        <f t="shared" si="25"/>
        <v>OK</v>
      </c>
      <c r="R146" s="15"/>
    </row>
    <row r="147" spans="1:18" outlineLevel="2">
      <c r="B147" s="221" t="s">
        <v>230</v>
      </c>
      <c r="C147" s="273" t="s">
        <v>230</v>
      </c>
      <c r="D147" s="68" t="s">
        <v>278</v>
      </c>
      <c r="E147" s="255" t="s">
        <v>28</v>
      </c>
      <c r="F147" s="256" t="s">
        <v>28</v>
      </c>
      <c r="G147" s="256" t="s">
        <v>28</v>
      </c>
      <c r="H147" s="257" t="s">
        <v>28</v>
      </c>
      <c r="I147" s="208" t="str">
        <f t="shared" ref="I147:Q147" si="26">IF(I81&gt;=I82,"OK","BŁĄD")</f>
        <v>OK</v>
      </c>
      <c r="J147" s="204" t="str">
        <f t="shared" si="26"/>
        <v>OK</v>
      </c>
      <c r="K147" s="204" t="str">
        <f t="shared" si="26"/>
        <v>OK</v>
      </c>
      <c r="L147" s="204" t="str">
        <f t="shared" si="26"/>
        <v>OK</v>
      </c>
      <c r="M147" s="204" t="str">
        <f t="shared" si="26"/>
        <v>OK</v>
      </c>
      <c r="N147" s="204" t="str">
        <f t="shared" si="26"/>
        <v>OK</v>
      </c>
      <c r="O147" s="204" t="str">
        <f t="shared" si="26"/>
        <v>OK</v>
      </c>
      <c r="P147" s="204" t="str">
        <f t="shared" si="26"/>
        <v>OK</v>
      </c>
      <c r="Q147" s="204" t="str">
        <f t="shared" si="26"/>
        <v>OK</v>
      </c>
      <c r="R147" s="15"/>
    </row>
    <row r="148" spans="1:18" outlineLevel="2">
      <c r="B148" s="221" t="s">
        <v>231</v>
      </c>
      <c r="C148" s="273" t="s">
        <v>231</v>
      </c>
      <c r="D148" s="68" t="s">
        <v>279</v>
      </c>
      <c r="E148" s="255" t="s">
        <v>28</v>
      </c>
      <c r="F148" s="256" t="s">
        <v>28</v>
      </c>
      <c r="G148" s="256" t="s">
        <v>28</v>
      </c>
      <c r="H148" s="257" t="s">
        <v>28</v>
      </c>
      <c r="I148" s="208" t="str">
        <f t="shared" ref="I148:Q148" si="27">IF(I81&gt;=I83,"OK","BŁĄD")</f>
        <v>OK</v>
      </c>
      <c r="J148" s="204" t="str">
        <f t="shared" si="27"/>
        <v>OK</v>
      </c>
      <c r="K148" s="204" t="str">
        <f t="shared" si="27"/>
        <v>OK</v>
      </c>
      <c r="L148" s="204" t="str">
        <f t="shared" si="27"/>
        <v>OK</v>
      </c>
      <c r="M148" s="204" t="str">
        <f t="shared" si="27"/>
        <v>OK</v>
      </c>
      <c r="N148" s="204" t="str">
        <f t="shared" si="27"/>
        <v>OK</v>
      </c>
      <c r="O148" s="204" t="str">
        <f t="shared" si="27"/>
        <v>OK</v>
      </c>
      <c r="P148" s="204" t="str">
        <f t="shared" si="27"/>
        <v>OK</v>
      </c>
      <c r="Q148" s="204" t="str">
        <f t="shared" si="27"/>
        <v>OK</v>
      </c>
      <c r="R148" s="15"/>
    </row>
    <row r="149" spans="1:18" outlineLevel="2">
      <c r="B149" s="221" t="s">
        <v>232</v>
      </c>
      <c r="C149" s="273" t="s">
        <v>232</v>
      </c>
      <c r="D149" s="68" t="s">
        <v>280</v>
      </c>
      <c r="E149" s="255" t="s">
        <v>28</v>
      </c>
      <c r="F149" s="256" t="s">
        <v>28</v>
      </c>
      <c r="G149" s="256" t="s">
        <v>28</v>
      </c>
      <c r="H149" s="257" t="s">
        <v>28</v>
      </c>
      <c r="I149" s="208" t="str">
        <f t="shared" ref="I149:Q149" si="28">IF(I84&gt;=I85,"OK","BŁĄD")</f>
        <v>OK</v>
      </c>
      <c r="J149" s="204" t="str">
        <f t="shared" si="28"/>
        <v>OK</v>
      </c>
      <c r="K149" s="204" t="str">
        <f t="shared" si="28"/>
        <v>OK</v>
      </c>
      <c r="L149" s="204" t="str">
        <f t="shared" si="28"/>
        <v>OK</v>
      </c>
      <c r="M149" s="204" t="str">
        <f t="shared" si="28"/>
        <v>OK</v>
      </c>
      <c r="N149" s="204" t="str">
        <f t="shared" si="28"/>
        <v>OK</v>
      </c>
      <c r="O149" s="204" t="str">
        <f t="shared" si="28"/>
        <v>OK</v>
      </c>
      <c r="P149" s="204" t="str">
        <f t="shared" si="28"/>
        <v>OK</v>
      </c>
      <c r="Q149" s="204" t="str">
        <f t="shared" si="28"/>
        <v>OK</v>
      </c>
      <c r="R149" s="15"/>
    </row>
    <row r="150" spans="1:18" outlineLevel="2">
      <c r="B150" s="221" t="s">
        <v>233</v>
      </c>
      <c r="C150" s="273" t="s">
        <v>233</v>
      </c>
      <c r="D150" s="68" t="s">
        <v>281</v>
      </c>
      <c r="E150" s="255" t="s">
        <v>28</v>
      </c>
      <c r="F150" s="256" t="s">
        <v>28</v>
      </c>
      <c r="G150" s="256" t="s">
        <v>28</v>
      </c>
      <c r="H150" s="257" t="s">
        <v>28</v>
      </c>
      <c r="I150" s="208" t="str">
        <f t="shared" ref="I150:Q150" si="29">IF(I84&gt;=I86,"OK","BŁĄD")</f>
        <v>OK</v>
      </c>
      <c r="J150" s="204" t="str">
        <f t="shared" si="29"/>
        <v>OK</v>
      </c>
      <c r="K150" s="204" t="str">
        <f t="shared" si="29"/>
        <v>OK</v>
      </c>
      <c r="L150" s="204" t="str">
        <f t="shared" si="29"/>
        <v>OK</v>
      </c>
      <c r="M150" s="204" t="str">
        <f t="shared" si="29"/>
        <v>OK</v>
      </c>
      <c r="N150" s="204" t="str">
        <f t="shared" si="29"/>
        <v>OK</v>
      </c>
      <c r="O150" s="204" t="str">
        <f t="shared" si="29"/>
        <v>OK</v>
      </c>
      <c r="P150" s="204" t="str">
        <f t="shared" si="29"/>
        <v>OK</v>
      </c>
      <c r="Q150" s="204" t="str">
        <f t="shared" si="29"/>
        <v>OK</v>
      </c>
      <c r="R150" s="15"/>
    </row>
    <row r="151" spans="1:18" s="268" customFormat="1" outlineLevel="2">
      <c r="A151" s="274"/>
      <c r="B151" s="271" t="s">
        <v>232</v>
      </c>
      <c r="C151" s="273" t="s">
        <v>232</v>
      </c>
      <c r="D151" s="270" t="s">
        <v>420</v>
      </c>
      <c r="E151" s="275" t="s">
        <v>28</v>
      </c>
      <c r="F151" s="276" t="s">
        <v>28</v>
      </c>
      <c r="G151" s="276" t="s">
        <v>28</v>
      </c>
      <c r="H151" s="277" t="s">
        <v>28</v>
      </c>
      <c r="I151" s="208" t="str">
        <f>IF(I87&gt;=I88,"OK","BŁĄD")</f>
        <v>OK</v>
      </c>
      <c r="J151" s="204" t="str">
        <f t="shared" ref="J151:Q151" si="30">IF(J87&gt;=J88,"OK","BŁĄD")</f>
        <v>OK</v>
      </c>
      <c r="K151" s="204" t="str">
        <f t="shared" si="30"/>
        <v>OK</v>
      </c>
      <c r="L151" s="204" t="str">
        <f t="shared" si="30"/>
        <v>OK</v>
      </c>
      <c r="M151" s="204" t="str">
        <f t="shared" si="30"/>
        <v>OK</v>
      </c>
      <c r="N151" s="204" t="str">
        <f t="shared" si="30"/>
        <v>OK</v>
      </c>
      <c r="O151" s="204" t="str">
        <f t="shared" si="30"/>
        <v>OK</v>
      </c>
      <c r="P151" s="204" t="str">
        <f t="shared" si="30"/>
        <v>OK</v>
      </c>
      <c r="Q151" s="204" t="str">
        <f t="shared" si="30"/>
        <v>OK</v>
      </c>
    </row>
    <row r="152" spans="1:18" s="268" customFormat="1" outlineLevel="2">
      <c r="A152" s="274"/>
      <c r="B152" s="271" t="s">
        <v>232</v>
      </c>
      <c r="C152" s="273" t="s">
        <v>232</v>
      </c>
      <c r="D152" s="270" t="s">
        <v>421</v>
      </c>
      <c r="E152" s="275" t="s">
        <v>28</v>
      </c>
      <c r="F152" s="276" t="s">
        <v>28</v>
      </c>
      <c r="G152" s="276" t="s">
        <v>28</v>
      </c>
      <c r="H152" s="277" t="s">
        <v>28</v>
      </c>
      <c r="I152" s="208" t="str">
        <f>IF(I89&gt;=I90,"OK","BŁĄD")</f>
        <v>OK</v>
      </c>
      <c r="J152" s="204" t="str">
        <f t="shared" ref="J152:Q152" si="31">IF(J89&gt;=J90,"OK","BŁĄD")</f>
        <v>OK</v>
      </c>
      <c r="K152" s="204" t="str">
        <f t="shared" si="31"/>
        <v>OK</v>
      </c>
      <c r="L152" s="204" t="str">
        <f t="shared" si="31"/>
        <v>OK</v>
      </c>
      <c r="M152" s="204" t="str">
        <f t="shared" si="31"/>
        <v>OK</v>
      </c>
      <c r="N152" s="204" t="str">
        <f t="shared" si="31"/>
        <v>OK</v>
      </c>
      <c r="O152" s="204" t="str">
        <f t="shared" si="31"/>
        <v>OK</v>
      </c>
      <c r="P152" s="204" t="str">
        <f t="shared" si="31"/>
        <v>OK</v>
      </c>
      <c r="Q152" s="204" t="str">
        <f t="shared" si="31"/>
        <v>OK</v>
      </c>
    </row>
    <row r="153" spans="1:18" s="268" customFormat="1" outlineLevel="2">
      <c r="A153" s="274"/>
      <c r="B153" s="271" t="s">
        <v>232</v>
      </c>
      <c r="C153" s="273" t="s">
        <v>232</v>
      </c>
      <c r="D153" s="270" t="s">
        <v>422</v>
      </c>
      <c r="E153" s="275" t="s">
        <v>28</v>
      </c>
      <c r="F153" s="276" t="s">
        <v>28</v>
      </c>
      <c r="G153" s="276" t="s">
        <v>28</v>
      </c>
      <c r="H153" s="277" t="s">
        <v>28</v>
      </c>
      <c r="I153" s="208" t="str">
        <f>IF(I91&gt;=I92,"OK","BŁĄD")</f>
        <v>OK</v>
      </c>
      <c r="J153" s="204" t="str">
        <f t="shared" ref="J153:Q153" si="32">IF(J91&gt;=J92,"OK","BŁĄD")</f>
        <v>OK</v>
      </c>
      <c r="K153" s="204" t="str">
        <f t="shared" si="32"/>
        <v>OK</v>
      </c>
      <c r="L153" s="204" t="str">
        <f t="shared" si="32"/>
        <v>OK</v>
      </c>
      <c r="M153" s="204" t="str">
        <f t="shared" si="32"/>
        <v>OK</v>
      </c>
      <c r="N153" s="204" t="str">
        <f t="shared" si="32"/>
        <v>OK</v>
      </c>
      <c r="O153" s="204" t="str">
        <f t="shared" si="32"/>
        <v>OK</v>
      </c>
      <c r="P153" s="204" t="str">
        <f t="shared" si="32"/>
        <v>OK</v>
      </c>
      <c r="Q153" s="204" t="str">
        <f t="shared" si="32"/>
        <v>OK</v>
      </c>
    </row>
    <row r="154" spans="1:18" s="268" customFormat="1" outlineLevel="2">
      <c r="A154" s="274"/>
      <c r="B154" s="271" t="s">
        <v>232</v>
      </c>
      <c r="C154" s="273" t="s">
        <v>232</v>
      </c>
      <c r="D154" s="270" t="s">
        <v>423</v>
      </c>
      <c r="E154" s="275" t="s">
        <v>28</v>
      </c>
      <c r="F154" s="276" t="s">
        <v>28</v>
      </c>
      <c r="G154" s="276" t="s">
        <v>28</v>
      </c>
      <c r="H154" s="277" t="s">
        <v>28</v>
      </c>
      <c r="I154" s="208" t="str">
        <f>IF(I93&gt;=I94,"OK","BŁĄD")</f>
        <v>OK</v>
      </c>
      <c r="J154" s="204" t="str">
        <f t="shared" ref="J154:Q154" si="33">IF(J93&gt;=J94,"OK","BŁĄD")</f>
        <v>OK</v>
      </c>
      <c r="K154" s="204" t="str">
        <f t="shared" si="33"/>
        <v>OK</v>
      </c>
      <c r="L154" s="204" t="str">
        <f t="shared" si="33"/>
        <v>OK</v>
      </c>
      <c r="M154" s="204" t="str">
        <f t="shared" si="33"/>
        <v>OK</v>
      </c>
      <c r="N154" s="204" t="str">
        <f t="shared" si="33"/>
        <v>OK</v>
      </c>
      <c r="O154" s="204" t="str">
        <f t="shared" si="33"/>
        <v>OK</v>
      </c>
      <c r="P154" s="204" t="str">
        <f t="shared" si="33"/>
        <v>OK</v>
      </c>
      <c r="Q154" s="204" t="str">
        <f t="shared" si="33"/>
        <v>OK</v>
      </c>
    </row>
    <row r="155" spans="1:18" outlineLevel="2">
      <c r="B155" s="221" t="s">
        <v>234</v>
      </c>
      <c r="C155" s="273" t="s">
        <v>234</v>
      </c>
      <c r="D155" s="270" t="s">
        <v>282</v>
      </c>
      <c r="E155" s="255" t="s">
        <v>28</v>
      </c>
      <c r="F155" s="256" t="s">
        <v>28</v>
      </c>
      <c r="G155" s="256" t="s">
        <v>28</v>
      </c>
      <c r="H155" s="257" t="s">
        <v>28</v>
      </c>
      <c r="I155" s="208" t="str">
        <f t="shared" ref="I155:Q155" si="34">IF(I96&gt;=I98,"OK","BŁĄD")</f>
        <v>OK</v>
      </c>
      <c r="J155" s="204" t="str">
        <f t="shared" si="34"/>
        <v>OK</v>
      </c>
      <c r="K155" s="204" t="str">
        <f t="shared" si="34"/>
        <v>OK</v>
      </c>
      <c r="L155" s="204" t="str">
        <f t="shared" si="34"/>
        <v>OK</v>
      </c>
      <c r="M155" s="204" t="str">
        <f t="shared" si="34"/>
        <v>OK</v>
      </c>
      <c r="N155" s="204" t="str">
        <f t="shared" si="34"/>
        <v>OK</v>
      </c>
      <c r="O155" s="204" t="str">
        <f t="shared" si="34"/>
        <v>OK</v>
      </c>
      <c r="P155" s="204" t="str">
        <f t="shared" si="34"/>
        <v>OK</v>
      </c>
      <c r="Q155" s="204" t="str">
        <f t="shared" si="34"/>
        <v>OK</v>
      </c>
      <c r="R155" s="15"/>
    </row>
    <row r="156" spans="1:18" outlineLevel="2">
      <c r="B156" s="221" t="s">
        <v>235</v>
      </c>
      <c r="C156" s="273" t="s">
        <v>235</v>
      </c>
      <c r="D156" s="68" t="s">
        <v>283</v>
      </c>
      <c r="E156" s="255" t="s">
        <v>28</v>
      </c>
      <c r="F156" s="256" t="s">
        <v>28</v>
      </c>
      <c r="G156" s="256" t="s">
        <v>28</v>
      </c>
      <c r="H156" s="257" t="s">
        <v>28</v>
      </c>
      <c r="I156" s="208" t="str">
        <f t="shared" ref="I156:Q156" si="35">IF(I99&gt;=I25,"OK","BŁĄD")</f>
        <v>OK</v>
      </c>
      <c r="J156" s="204" t="str">
        <f t="shared" si="35"/>
        <v>OK</v>
      </c>
      <c r="K156" s="204" t="str">
        <f t="shared" si="35"/>
        <v>OK</v>
      </c>
      <c r="L156" s="204" t="str">
        <f t="shared" si="35"/>
        <v>OK</v>
      </c>
      <c r="M156" s="204" t="str">
        <f t="shared" si="35"/>
        <v>OK</v>
      </c>
      <c r="N156" s="204" t="str">
        <f t="shared" si="35"/>
        <v>OK</v>
      </c>
      <c r="O156" s="204" t="str">
        <f t="shared" si="35"/>
        <v>OK</v>
      </c>
      <c r="P156" s="204" t="str">
        <f t="shared" si="35"/>
        <v>OK</v>
      </c>
      <c r="Q156" s="204" t="str">
        <f t="shared" si="35"/>
        <v>OK</v>
      </c>
      <c r="R156" s="15"/>
    </row>
    <row r="157" spans="1:18" outlineLevel="2">
      <c r="B157" s="221" t="s">
        <v>236</v>
      </c>
      <c r="C157" s="273" t="s">
        <v>236</v>
      </c>
      <c r="D157" s="68" t="s">
        <v>284</v>
      </c>
      <c r="E157" s="255" t="s">
        <v>28</v>
      </c>
      <c r="F157" s="256" t="s">
        <v>28</v>
      </c>
      <c r="G157" s="256" t="s">
        <v>28</v>
      </c>
      <c r="H157" s="257" t="s">
        <v>28</v>
      </c>
      <c r="I157" s="208" t="str">
        <f t="shared" ref="I157:Q157" si="36">IF(I106&gt;=(I107+I108+I109),"OK","BŁĄD")</f>
        <v>OK</v>
      </c>
      <c r="J157" s="204" t="str">
        <f t="shared" si="36"/>
        <v>OK</v>
      </c>
      <c r="K157" s="204" t="str">
        <f t="shared" si="36"/>
        <v>OK</v>
      </c>
      <c r="L157" s="204" t="str">
        <f t="shared" si="36"/>
        <v>OK</v>
      </c>
      <c r="M157" s="204" t="str">
        <f t="shared" si="36"/>
        <v>OK</v>
      </c>
      <c r="N157" s="204" t="str">
        <f t="shared" si="36"/>
        <v>OK</v>
      </c>
      <c r="O157" s="204" t="str">
        <f t="shared" si="36"/>
        <v>OK</v>
      </c>
      <c r="P157" s="204" t="str">
        <f t="shared" si="36"/>
        <v>OK</v>
      </c>
      <c r="Q157" s="204" t="str">
        <f t="shared" si="36"/>
        <v>OK</v>
      </c>
      <c r="R157" s="15"/>
    </row>
    <row r="158" spans="1:18" s="268" customFormat="1" outlineLevel="2">
      <c r="A158" s="274"/>
      <c r="B158" s="271" t="s">
        <v>234</v>
      </c>
      <c r="C158" s="273" t="s">
        <v>234</v>
      </c>
      <c r="D158" s="270" t="s">
        <v>425</v>
      </c>
      <c r="E158" s="275" t="s">
        <v>28</v>
      </c>
      <c r="F158" s="276" t="s">
        <v>28</v>
      </c>
      <c r="G158" s="276" t="s">
        <v>28</v>
      </c>
      <c r="H158" s="277" t="s">
        <v>28</v>
      </c>
      <c r="I158" s="208" t="str">
        <f>IF(I112&gt;=I113,"OK","BŁĄD")</f>
        <v>OK</v>
      </c>
      <c r="J158" s="204" t="str">
        <f t="shared" ref="J158:Q158" si="37">IF(J112&gt;=J113,"OK","BŁĄD")</f>
        <v>OK</v>
      </c>
      <c r="K158" s="204" t="str">
        <f t="shared" si="37"/>
        <v>OK</v>
      </c>
      <c r="L158" s="204" t="str">
        <f t="shared" si="37"/>
        <v>OK</v>
      </c>
      <c r="M158" s="204" t="str">
        <f t="shared" si="37"/>
        <v>OK</v>
      </c>
      <c r="N158" s="204" t="str">
        <f t="shared" si="37"/>
        <v>OK</v>
      </c>
      <c r="O158" s="204" t="str">
        <f t="shared" si="37"/>
        <v>OK</v>
      </c>
      <c r="P158" s="204" t="str">
        <f t="shared" si="37"/>
        <v>OK</v>
      </c>
      <c r="Q158" s="204" t="str">
        <f t="shared" si="37"/>
        <v>OK</v>
      </c>
    </row>
    <row r="159" spans="1:18" outlineLevel="2">
      <c r="B159" s="221" t="s">
        <v>238</v>
      </c>
      <c r="C159" s="273" t="s">
        <v>238</v>
      </c>
      <c r="D159" s="68" t="s">
        <v>286</v>
      </c>
      <c r="E159" s="255" t="s">
        <v>28</v>
      </c>
      <c r="F159" s="256" t="s">
        <v>28</v>
      </c>
      <c r="G159" s="256" t="s">
        <v>28</v>
      </c>
      <c r="H159" s="257" t="s">
        <v>28</v>
      </c>
      <c r="I159" s="208" t="str">
        <f t="shared" ref="I159:Q159" si="38">IF(I23&gt;=I24,"OK","BŁĄD")</f>
        <v>OK</v>
      </c>
      <c r="J159" s="204" t="str">
        <f t="shared" si="38"/>
        <v>OK</v>
      </c>
      <c r="K159" s="204" t="str">
        <f t="shared" si="38"/>
        <v>OK</v>
      </c>
      <c r="L159" s="204" t="str">
        <f t="shared" si="38"/>
        <v>OK</v>
      </c>
      <c r="M159" s="204" t="str">
        <f t="shared" si="38"/>
        <v>OK</v>
      </c>
      <c r="N159" s="204" t="str">
        <f t="shared" si="38"/>
        <v>OK</v>
      </c>
      <c r="O159" s="204" t="str">
        <f t="shared" si="38"/>
        <v>OK</v>
      </c>
      <c r="P159" s="204" t="str">
        <f t="shared" si="38"/>
        <v>OK</v>
      </c>
      <c r="Q159" s="204" t="str">
        <f t="shared" si="38"/>
        <v>OK</v>
      </c>
      <c r="R159" s="15"/>
    </row>
    <row r="160" spans="1:18" outlineLevel="2">
      <c r="B160" s="221" t="s">
        <v>237</v>
      </c>
      <c r="C160" s="273" t="s">
        <v>237</v>
      </c>
      <c r="D160" s="68" t="s">
        <v>285</v>
      </c>
      <c r="E160" s="255" t="s">
        <v>28</v>
      </c>
      <c r="F160" s="256" t="s">
        <v>28</v>
      </c>
      <c r="G160" s="256" t="s">
        <v>28</v>
      </c>
      <c r="H160" s="257" t="s">
        <v>28</v>
      </c>
      <c r="I160" s="208" t="str">
        <f t="shared" ref="I160:Q160" si="39">IF(I23&gt;=I109,"OK","BŁĄD")</f>
        <v>OK</v>
      </c>
      <c r="J160" s="204" t="str">
        <f t="shared" si="39"/>
        <v>OK</v>
      </c>
      <c r="K160" s="204" t="str">
        <f t="shared" si="39"/>
        <v>OK</v>
      </c>
      <c r="L160" s="204" t="str">
        <f t="shared" si="39"/>
        <v>OK</v>
      </c>
      <c r="M160" s="204" t="str">
        <f t="shared" si="39"/>
        <v>OK</v>
      </c>
      <c r="N160" s="204" t="str">
        <f t="shared" si="39"/>
        <v>OK</v>
      </c>
      <c r="O160" s="204" t="str">
        <f t="shared" si="39"/>
        <v>OK</v>
      </c>
      <c r="P160" s="204" t="str">
        <f t="shared" si="39"/>
        <v>OK</v>
      </c>
      <c r="Q160" s="204" t="str">
        <f t="shared" si="39"/>
        <v>OK</v>
      </c>
      <c r="R160" s="15"/>
    </row>
    <row r="161" spans="1:18" outlineLevel="2">
      <c r="B161" s="221" t="s">
        <v>239</v>
      </c>
      <c r="C161" s="273" t="s">
        <v>239</v>
      </c>
      <c r="D161" s="68" t="s">
        <v>287</v>
      </c>
      <c r="E161" s="255" t="s">
        <v>28</v>
      </c>
      <c r="F161" s="256" t="s">
        <v>28</v>
      </c>
      <c r="G161" s="256" t="s">
        <v>28</v>
      </c>
      <c r="H161" s="257" t="s">
        <v>28</v>
      </c>
      <c r="I161" s="208" t="str">
        <f t="shared" ref="I161:Q161" si="40">IF(I26&gt;=I27,"OK","BŁĄD")</f>
        <v>OK</v>
      </c>
      <c r="J161" s="204" t="str">
        <f t="shared" si="40"/>
        <v>OK</v>
      </c>
      <c r="K161" s="204" t="str">
        <f t="shared" si="40"/>
        <v>OK</v>
      </c>
      <c r="L161" s="204" t="str">
        <f t="shared" si="40"/>
        <v>OK</v>
      </c>
      <c r="M161" s="204" t="str">
        <f t="shared" si="40"/>
        <v>OK</v>
      </c>
      <c r="N161" s="204" t="str">
        <f t="shared" si="40"/>
        <v>OK</v>
      </c>
      <c r="O161" s="204" t="str">
        <f t="shared" si="40"/>
        <v>OK</v>
      </c>
      <c r="P161" s="204" t="str">
        <f t="shared" si="40"/>
        <v>OK</v>
      </c>
      <c r="Q161" s="204" t="str">
        <f t="shared" si="40"/>
        <v>OK</v>
      </c>
      <c r="R161" s="15"/>
    </row>
    <row r="162" spans="1:18" s="268" customFormat="1" outlineLevel="2">
      <c r="A162" s="274"/>
      <c r="B162" s="271" t="s">
        <v>239</v>
      </c>
      <c r="C162" s="273" t="s">
        <v>239</v>
      </c>
      <c r="D162" s="270" t="s">
        <v>424</v>
      </c>
      <c r="E162" s="275" t="s">
        <v>28</v>
      </c>
      <c r="F162" s="276" t="s">
        <v>28</v>
      </c>
      <c r="G162" s="276" t="s">
        <v>28</v>
      </c>
      <c r="H162" s="277" t="s">
        <v>28</v>
      </c>
      <c r="I162" s="208" t="str">
        <f>IF(I27&gt;=(I28+I29),"OK","BŁĄD")</f>
        <v>OK</v>
      </c>
      <c r="J162" s="204" t="str">
        <f t="shared" ref="J162:Q162" si="41">IF(J27&gt;=J28,"OK","BŁĄD")</f>
        <v>OK</v>
      </c>
      <c r="K162" s="204" t="str">
        <f t="shared" si="41"/>
        <v>OK</v>
      </c>
      <c r="L162" s="204" t="str">
        <f t="shared" si="41"/>
        <v>OK</v>
      </c>
      <c r="M162" s="204" t="str">
        <f t="shared" si="41"/>
        <v>OK</v>
      </c>
      <c r="N162" s="204" t="str">
        <f t="shared" si="41"/>
        <v>OK</v>
      </c>
      <c r="O162" s="204" t="str">
        <f t="shared" si="41"/>
        <v>OK</v>
      </c>
      <c r="P162" s="204" t="str">
        <f t="shared" si="41"/>
        <v>OK</v>
      </c>
      <c r="Q162" s="204" t="str">
        <f t="shared" si="41"/>
        <v>OK</v>
      </c>
    </row>
    <row r="163" spans="1:18" outlineLevel="2">
      <c r="B163" s="221" t="s">
        <v>240</v>
      </c>
      <c r="C163" s="273" t="s">
        <v>240</v>
      </c>
      <c r="D163" s="68" t="s">
        <v>288</v>
      </c>
      <c r="E163" s="255" t="s">
        <v>28</v>
      </c>
      <c r="F163" s="256" t="s">
        <v>28</v>
      </c>
      <c r="G163" s="256" t="s">
        <v>28</v>
      </c>
      <c r="H163" s="257" t="s">
        <v>28</v>
      </c>
      <c r="I163" s="208" t="str">
        <f t="shared" ref="I163:Q163" si="42">IF(I22&gt;=(I23+I25+I26),"OK","BŁĄD")</f>
        <v>OK</v>
      </c>
      <c r="J163" s="204" t="str">
        <f t="shared" si="42"/>
        <v>OK</v>
      </c>
      <c r="K163" s="204" t="str">
        <f t="shared" si="42"/>
        <v>OK</v>
      </c>
      <c r="L163" s="204" t="str">
        <f t="shared" si="42"/>
        <v>OK</v>
      </c>
      <c r="M163" s="204" t="str">
        <f t="shared" si="42"/>
        <v>OK</v>
      </c>
      <c r="N163" s="204" t="str">
        <f t="shared" si="42"/>
        <v>OK</v>
      </c>
      <c r="O163" s="204" t="str">
        <f t="shared" si="42"/>
        <v>OK</v>
      </c>
      <c r="P163" s="204" t="str">
        <f t="shared" si="42"/>
        <v>OK</v>
      </c>
      <c r="Q163" s="204" t="str">
        <f t="shared" si="42"/>
        <v>OK</v>
      </c>
      <c r="R163" s="15"/>
    </row>
    <row r="164" spans="1:18" outlineLevel="2">
      <c r="B164" s="221" t="s">
        <v>241</v>
      </c>
      <c r="C164" s="273" t="s">
        <v>241</v>
      </c>
      <c r="D164" s="68" t="s">
        <v>289</v>
      </c>
      <c r="E164" s="255" t="s">
        <v>28</v>
      </c>
      <c r="F164" s="256" t="s">
        <v>28</v>
      </c>
      <c r="G164" s="256" t="s">
        <v>28</v>
      </c>
      <c r="H164" s="257" t="s">
        <v>28</v>
      </c>
      <c r="I164" s="208" t="str">
        <f t="shared" ref="I164:Q164" si="43">IF(I22&gt;=I66,"OK","BŁĄD")</f>
        <v>OK</v>
      </c>
      <c r="J164" s="204" t="str">
        <f t="shared" si="43"/>
        <v>OK</v>
      </c>
      <c r="K164" s="204" t="str">
        <f t="shared" si="43"/>
        <v>OK</v>
      </c>
      <c r="L164" s="204" t="str">
        <f t="shared" si="43"/>
        <v>OK</v>
      </c>
      <c r="M164" s="204" t="str">
        <f t="shared" si="43"/>
        <v>OK</v>
      </c>
      <c r="N164" s="204" t="str">
        <f t="shared" si="43"/>
        <v>OK</v>
      </c>
      <c r="O164" s="204" t="str">
        <f t="shared" si="43"/>
        <v>OK</v>
      </c>
      <c r="P164" s="204" t="str">
        <f t="shared" si="43"/>
        <v>OK</v>
      </c>
      <c r="Q164" s="204" t="str">
        <f t="shared" si="43"/>
        <v>OK</v>
      </c>
      <c r="R164" s="15"/>
    </row>
    <row r="165" spans="1:18" outlineLevel="2">
      <c r="B165" s="221" t="s">
        <v>242</v>
      </c>
      <c r="C165" s="273" t="s">
        <v>242</v>
      </c>
      <c r="D165" s="68" t="s">
        <v>290</v>
      </c>
      <c r="E165" s="255" t="s">
        <v>28</v>
      </c>
      <c r="F165" s="256" t="s">
        <v>28</v>
      </c>
      <c r="G165" s="256" t="s">
        <v>28</v>
      </c>
      <c r="H165" s="257" t="s">
        <v>28</v>
      </c>
      <c r="I165" s="208" t="str">
        <f t="shared" ref="I165:Q165" si="44">IF(I22&gt;=I69,"OK","BŁĄD")</f>
        <v>OK</v>
      </c>
      <c r="J165" s="204" t="str">
        <f t="shared" si="44"/>
        <v>OK</v>
      </c>
      <c r="K165" s="204" t="str">
        <f t="shared" si="44"/>
        <v>OK</v>
      </c>
      <c r="L165" s="204" t="str">
        <f t="shared" si="44"/>
        <v>OK</v>
      </c>
      <c r="M165" s="204" t="str">
        <f t="shared" si="44"/>
        <v>OK</v>
      </c>
      <c r="N165" s="204" t="str">
        <f t="shared" si="44"/>
        <v>OK</v>
      </c>
      <c r="O165" s="204" t="str">
        <f t="shared" si="44"/>
        <v>OK</v>
      </c>
      <c r="P165" s="204" t="str">
        <f t="shared" si="44"/>
        <v>OK</v>
      </c>
      <c r="Q165" s="204" t="str">
        <f t="shared" si="44"/>
        <v>OK</v>
      </c>
      <c r="R165" s="15"/>
    </row>
    <row r="166" spans="1:18" outlineLevel="2">
      <c r="B166" s="221" t="s">
        <v>243</v>
      </c>
      <c r="C166" s="273" t="s">
        <v>243</v>
      </c>
      <c r="D166" s="68" t="s">
        <v>291</v>
      </c>
      <c r="E166" s="255" t="s">
        <v>28</v>
      </c>
      <c r="F166" s="256" t="s">
        <v>28</v>
      </c>
      <c r="G166" s="256" t="s">
        <v>28</v>
      </c>
      <c r="H166" s="257" t="s">
        <v>28</v>
      </c>
      <c r="I166" s="208" t="str">
        <f t="shared" ref="I166:Q166" si="45">IF(I22&gt;=I81,"OK","BŁĄD")</f>
        <v>OK</v>
      </c>
      <c r="J166" s="204" t="str">
        <f t="shared" si="45"/>
        <v>OK</v>
      </c>
      <c r="K166" s="204" t="str">
        <f t="shared" si="45"/>
        <v>OK</v>
      </c>
      <c r="L166" s="204" t="str">
        <f t="shared" si="45"/>
        <v>OK</v>
      </c>
      <c r="M166" s="204" t="str">
        <f t="shared" si="45"/>
        <v>OK</v>
      </c>
      <c r="N166" s="204" t="str">
        <f t="shared" si="45"/>
        <v>OK</v>
      </c>
      <c r="O166" s="204" t="str">
        <f t="shared" si="45"/>
        <v>OK</v>
      </c>
      <c r="P166" s="204" t="str">
        <f t="shared" si="45"/>
        <v>OK</v>
      </c>
      <c r="Q166" s="204" t="str">
        <f t="shared" si="45"/>
        <v>OK</v>
      </c>
      <c r="R166" s="15"/>
    </row>
    <row r="167" spans="1:18" outlineLevel="2">
      <c r="B167" s="221" t="s">
        <v>244</v>
      </c>
      <c r="C167" s="273" t="s">
        <v>244</v>
      </c>
      <c r="D167" s="68" t="s">
        <v>292</v>
      </c>
      <c r="E167" s="255" t="s">
        <v>28</v>
      </c>
      <c r="F167" s="256" t="s">
        <v>28</v>
      </c>
      <c r="G167" s="256" t="s">
        <v>28</v>
      </c>
      <c r="H167" s="257" t="s">
        <v>28</v>
      </c>
      <c r="I167" s="208" t="str">
        <f t="shared" ref="I167:Q167" si="46">IF(I22&gt;=I102,"OK","BŁĄD")</f>
        <v>OK</v>
      </c>
      <c r="J167" s="204" t="str">
        <f t="shared" si="46"/>
        <v>OK</v>
      </c>
      <c r="K167" s="204" t="str">
        <f t="shared" si="46"/>
        <v>OK</v>
      </c>
      <c r="L167" s="204" t="str">
        <f t="shared" si="46"/>
        <v>OK</v>
      </c>
      <c r="M167" s="204" t="str">
        <f t="shared" si="46"/>
        <v>OK</v>
      </c>
      <c r="N167" s="204" t="str">
        <f t="shared" si="46"/>
        <v>OK</v>
      </c>
      <c r="O167" s="204" t="str">
        <f t="shared" si="46"/>
        <v>OK</v>
      </c>
      <c r="P167" s="204" t="str">
        <f t="shared" si="46"/>
        <v>OK</v>
      </c>
      <c r="Q167" s="204" t="str">
        <f t="shared" si="46"/>
        <v>OK</v>
      </c>
      <c r="R167" s="15"/>
    </row>
    <row r="168" spans="1:18" outlineLevel="2">
      <c r="B168" s="221" t="s">
        <v>245</v>
      </c>
      <c r="C168" s="273" t="s">
        <v>245</v>
      </c>
      <c r="D168" s="68" t="s">
        <v>293</v>
      </c>
      <c r="E168" s="255" t="s">
        <v>28</v>
      </c>
      <c r="F168" s="256" t="s">
        <v>28</v>
      </c>
      <c r="G168" s="256" t="s">
        <v>28</v>
      </c>
      <c r="H168" s="257" t="s">
        <v>28</v>
      </c>
      <c r="I168" s="208" t="str">
        <f t="shared" ref="I168:Q168" si="47">IF(I30&gt;=I70,"OK","BŁĄD")</f>
        <v>OK</v>
      </c>
      <c r="J168" s="204" t="str">
        <f t="shared" si="47"/>
        <v>OK</v>
      </c>
      <c r="K168" s="204" t="str">
        <f t="shared" si="47"/>
        <v>OK</v>
      </c>
      <c r="L168" s="204" t="str">
        <f t="shared" si="47"/>
        <v>OK</v>
      </c>
      <c r="M168" s="204" t="str">
        <f t="shared" si="47"/>
        <v>OK</v>
      </c>
      <c r="N168" s="204" t="str">
        <f t="shared" si="47"/>
        <v>OK</v>
      </c>
      <c r="O168" s="204" t="str">
        <f t="shared" si="47"/>
        <v>OK</v>
      </c>
      <c r="P168" s="204" t="str">
        <f t="shared" si="47"/>
        <v>OK</v>
      </c>
      <c r="Q168" s="204" t="str">
        <f t="shared" si="47"/>
        <v>OK</v>
      </c>
      <c r="R168" s="15"/>
    </row>
    <row r="169" spans="1:18" outlineLevel="2">
      <c r="B169" s="221" t="s">
        <v>246</v>
      </c>
      <c r="C169" s="273" t="s">
        <v>246</v>
      </c>
      <c r="D169" s="68" t="s">
        <v>294</v>
      </c>
      <c r="E169" s="255" t="s">
        <v>28</v>
      </c>
      <c r="F169" s="256" t="s">
        <v>28</v>
      </c>
      <c r="G169" s="256" t="s">
        <v>28</v>
      </c>
      <c r="H169" s="257" t="s">
        <v>28</v>
      </c>
      <c r="I169" s="208" t="str">
        <f t="shared" ref="I169:Q169" si="48">IF(I30&gt;=I71+I72,"OK","BŁĄD")</f>
        <v>OK</v>
      </c>
      <c r="J169" s="204" t="str">
        <f t="shared" si="48"/>
        <v>OK</v>
      </c>
      <c r="K169" s="204" t="str">
        <f t="shared" si="48"/>
        <v>OK</v>
      </c>
      <c r="L169" s="204" t="str">
        <f t="shared" si="48"/>
        <v>OK</v>
      </c>
      <c r="M169" s="204" t="str">
        <f t="shared" si="48"/>
        <v>OK</v>
      </c>
      <c r="N169" s="204" t="str">
        <f t="shared" si="48"/>
        <v>OK</v>
      </c>
      <c r="O169" s="204" t="str">
        <f t="shared" si="48"/>
        <v>OK</v>
      </c>
      <c r="P169" s="204" t="str">
        <f t="shared" si="48"/>
        <v>OK</v>
      </c>
      <c r="Q169" s="204" t="str">
        <f t="shared" si="48"/>
        <v>OK</v>
      </c>
      <c r="R169" s="15"/>
    </row>
    <row r="170" spans="1:18" outlineLevel="2">
      <c r="B170" s="221" t="s">
        <v>247</v>
      </c>
      <c r="C170" s="273" t="s">
        <v>247</v>
      </c>
      <c r="D170" s="68" t="s">
        <v>295</v>
      </c>
      <c r="E170" s="255" t="s">
        <v>28</v>
      </c>
      <c r="F170" s="256" t="s">
        <v>28</v>
      </c>
      <c r="G170" s="256" t="s">
        <v>28</v>
      </c>
      <c r="H170" s="257" t="s">
        <v>28</v>
      </c>
      <c r="I170" s="208" t="str">
        <f t="shared" ref="I170:Q170" si="49">IF(I30&gt;=I73,"OK","BŁĄD")</f>
        <v>OK</v>
      </c>
      <c r="J170" s="204" t="str">
        <f t="shared" si="49"/>
        <v>OK</v>
      </c>
      <c r="K170" s="204" t="str">
        <f t="shared" si="49"/>
        <v>OK</v>
      </c>
      <c r="L170" s="204" t="str">
        <f t="shared" si="49"/>
        <v>OK</v>
      </c>
      <c r="M170" s="204" t="str">
        <f t="shared" si="49"/>
        <v>OK</v>
      </c>
      <c r="N170" s="204" t="str">
        <f t="shared" si="49"/>
        <v>OK</v>
      </c>
      <c r="O170" s="204" t="str">
        <f t="shared" si="49"/>
        <v>OK</v>
      </c>
      <c r="P170" s="204" t="str">
        <f t="shared" si="49"/>
        <v>OK</v>
      </c>
      <c r="Q170" s="204" t="str">
        <f t="shared" si="49"/>
        <v>OK</v>
      </c>
      <c r="R170" s="15"/>
    </row>
    <row r="171" spans="1:18" outlineLevel="2">
      <c r="B171" s="221" t="s">
        <v>248</v>
      </c>
      <c r="C171" s="273" t="s">
        <v>248</v>
      </c>
      <c r="D171" s="68" t="s">
        <v>296</v>
      </c>
      <c r="E171" s="255" t="s">
        <v>28</v>
      </c>
      <c r="F171" s="256" t="s">
        <v>28</v>
      </c>
      <c r="G171" s="256" t="s">
        <v>28</v>
      </c>
      <c r="H171" s="257" t="s">
        <v>28</v>
      </c>
      <c r="I171" s="208" t="str">
        <f t="shared" ref="I171:Q171" si="50">IF(I30&gt;=I84,"OK","BŁĄD")</f>
        <v>OK</v>
      </c>
      <c r="J171" s="204" t="str">
        <f t="shared" si="50"/>
        <v>OK</v>
      </c>
      <c r="K171" s="204" t="str">
        <f t="shared" si="50"/>
        <v>OK</v>
      </c>
      <c r="L171" s="204" t="str">
        <f t="shared" si="50"/>
        <v>OK</v>
      </c>
      <c r="M171" s="204" t="str">
        <f t="shared" si="50"/>
        <v>OK</v>
      </c>
      <c r="N171" s="204" t="str">
        <f t="shared" si="50"/>
        <v>OK</v>
      </c>
      <c r="O171" s="204" t="str">
        <f t="shared" si="50"/>
        <v>OK</v>
      </c>
      <c r="P171" s="204" t="str">
        <f t="shared" si="50"/>
        <v>OK</v>
      </c>
      <c r="Q171" s="204" t="str">
        <f t="shared" si="50"/>
        <v>OK</v>
      </c>
      <c r="R171" s="15"/>
    </row>
    <row r="172" spans="1:18" outlineLevel="2">
      <c r="B172" s="221" t="s">
        <v>249</v>
      </c>
      <c r="C172" s="273" t="s">
        <v>249</v>
      </c>
      <c r="D172" s="68" t="s">
        <v>297</v>
      </c>
      <c r="E172" s="255" t="s">
        <v>28</v>
      </c>
      <c r="F172" s="256" t="s">
        <v>28</v>
      </c>
      <c r="G172" s="256" t="s">
        <v>28</v>
      </c>
      <c r="H172" s="257" t="s">
        <v>28</v>
      </c>
      <c r="I172" s="208" t="str">
        <f t="shared" ref="I172:Q172" si="51">IF(I33&gt;=I34,"OK","BŁĄD")</f>
        <v>OK</v>
      </c>
      <c r="J172" s="204" t="str">
        <f t="shared" si="51"/>
        <v>OK</v>
      </c>
      <c r="K172" s="204" t="str">
        <f t="shared" si="51"/>
        <v>OK</v>
      </c>
      <c r="L172" s="204" t="str">
        <f t="shared" si="51"/>
        <v>OK</v>
      </c>
      <c r="M172" s="204" t="str">
        <f t="shared" si="51"/>
        <v>OK</v>
      </c>
      <c r="N172" s="204" t="str">
        <f t="shared" si="51"/>
        <v>OK</v>
      </c>
      <c r="O172" s="204" t="str">
        <f t="shared" si="51"/>
        <v>OK</v>
      </c>
      <c r="P172" s="204" t="str">
        <f t="shared" si="51"/>
        <v>OK</v>
      </c>
      <c r="Q172" s="204" t="str">
        <f t="shared" si="51"/>
        <v>OK</v>
      </c>
      <c r="R172" s="15"/>
    </row>
    <row r="173" spans="1:18" outlineLevel="2">
      <c r="B173" s="221" t="s">
        <v>250</v>
      </c>
      <c r="C173" s="273" t="s">
        <v>250</v>
      </c>
      <c r="D173" s="68" t="s">
        <v>298</v>
      </c>
      <c r="E173" s="255" t="s">
        <v>28</v>
      </c>
      <c r="F173" s="256" t="s">
        <v>28</v>
      </c>
      <c r="G173" s="256" t="s">
        <v>28</v>
      </c>
      <c r="H173" s="257" t="s">
        <v>28</v>
      </c>
      <c r="I173" s="208" t="str">
        <f t="shared" ref="I173:Q173" si="52">IF(I35&gt;=I36,"OK","BŁĄD")</f>
        <v>OK</v>
      </c>
      <c r="J173" s="204" t="str">
        <f t="shared" si="52"/>
        <v>OK</v>
      </c>
      <c r="K173" s="204" t="str">
        <f t="shared" si="52"/>
        <v>OK</v>
      </c>
      <c r="L173" s="204" t="str">
        <f t="shared" si="52"/>
        <v>OK</v>
      </c>
      <c r="M173" s="204" t="str">
        <f t="shared" si="52"/>
        <v>OK</v>
      </c>
      <c r="N173" s="204" t="str">
        <f t="shared" si="52"/>
        <v>OK</v>
      </c>
      <c r="O173" s="204" t="str">
        <f t="shared" si="52"/>
        <v>OK</v>
      </c>
      <c r="P173" s="204" t="str">
        <f t="shared" si="52"/>
        <v>OK</v>
      </c>
      <c r="Q173" s="204" t="str">
        <f t="shared" si="52"/>
        <v>OK</v>
      </c>
      <c r="R173" s="15"/>
    </row>
    <row r="174" spans="1:18" outlineLevel="2">
      <c r="B174" s="221" t="s">
        <v>251</v>
      </c>
      <c r="C174" s="273" t="s">
        <v>251</v>
      </c>
      <c r="D174" s="68" t="s">
        <v>299</v>
      </c>
      <c r="E174" s="255" t="s">
        <v>28</v>
      </c>
      <c r="F174" s="256" t="s">
        <v>28</v>
      </c>
      <c r="G174" s="256" t="s">
        <v>28</v>
      </c>
      <c r="H174" s="257" t="s">
        <v>28</v>
      </c>
      <c r="I174" s="208" t="str">
        <f t="shared" ref="I174:Q174" si="53">IF(I37&gt;=I38,"OK","BŁĄD")</f>
        <v>OK</v>
      </c>
      <c r="J174" s="204" t="str">
        <f t="shared" si="53"/>
        <v>OK</v>
      </c>
      <c r="K174" s="204" t="str">
        <f t="shared" si="53"/>
        <v>OK</v>
      </c>
      <c r="L174" s="204" t="str">
        <f t="shared" si="53"/>
        <v>OK</v>
      </c>
      <c r="M174" s="204" t="str">
        <f t="shared" si="53"/>
        <v>OK</v>
      </c>
      <c r="N174" s="204" t="str">
        <f t="shared" si="53"/>
        <v>OK</v>
      </c>
      <c r="O174" s="204" t="str">
        <f t="shared" si="53"/>
        <v>OK</v>
      </c>
      <c r="P174" s="204" t="str">
        <f t="shared" si="53"/>
        <v>OK</v>
      </c>
      <c r="Q174" s="204" t="str">
        <f t="shared" si="53"/>
        <v>OK</v>
      </c>
      <c r="R174" s="15"/>
    </row>
    <row r="175" spans="1:18" outlineLevel="2">
      <c r="B175" s="221" t="s">
        <v>252</v>
      </c>
      <c r="C175" s="273" t="s">
        <v>252</v>
      </c>
      <c r="D175" s="68" t="s">
        <v>300</v>
      </c>
      <c r="E175" s="255" t="s">
        <v>28</v>
      </c>
      <c r="F175" s="256" t="s">
        <v>28</v>
      </c>
      <c r="G175" s="256" t="s">
        <v>28</v>
      </c>
      <c r="H175" s="257" t="s">
        <v>28</v>
      </c>
      <c r="I175" s="208" t="str">
        <f t="shared" ref="I175:Q175" si="54">IF(I39&gt;=I40,"OK","BŁĄD")</f>
        <v>OK</v>
      </c>
      <c r="J175" s="204" t="str">
        <f t="shared" si="54"/>
        <v>OK</v>
      </c>
      <c r="K175" s="204" t="str">
        <f t="shared" si="54"/>
        <v>OK</v>
      </c>
      <c r="L175" s="204" t="str">
        <f t="shared" si="54"/>
        <v>OK</v>
      </c>
      <c r="M175" s="204" t="str">
        <f t="shared" si="54"/>
        <v>OK</v>
      </c>
      <c r="N175" s="204" t="str">
        <f t="shared" si="54"/>
        <v>OK</v>
      </c>
      <c r="O175" s="204" t="str">
        <f t="shared" si="54"/>
        <v>OK</v>
      </c>
      <c r="P175" s="204" t="str">
        <f t="shared" si="54"/>
        <v>OK</v>
      </c>
      <c r="Q175" s="204" t="str">
        <f t="shared" si="54"/>
        <v>OK</v>
      </c>
      <c r="R175" s="15"/>
    </row>
    <row r="176" spans="1:18" outlineLevel="2">
      <c r="B176" s="221" t="s">
        <v>255</v>
      </c>
      <c r="C176" s="273" t="s">
        <v>255</v>
      </c>
      <c r="D176" s="68" t="s">
        <v>303</v>
      </c>
      <c r="E176" s="255" t="s">
        <v>28</v>
      </c>
      <c r="F176" s="256" t="s">
        <v>28</v>
      </c>
      <c r="G176" s="256" t="s">
        <v>28</v>
      </c>
      <c r="H176" s="257" t="s">
        <v>28</v>
      </c>
      <c r="I176" s="208" t="str">
        <f t="shared" ref="I176:Q176" si="55">IF(I42&gt;=I43,"OK","BŁĄD")</f>
        <v>OK</v>
      </c>
      <c r="J176" s="204" t="str">
        <f t="shared" si="55"/>
        <v>OK</v>
      </c>
      <c r="K176" s="204" t="str">
        <f t="shared" si="55"/>
        <v>OK</v>
      </c>
      <c r="L176" s="204" t="str">
        <f t="shared" si="55"/>
        <v>OK</v>
      </c>
      <c r="M176" s="204" t="str">
        <f t="shared" si="55"/>
        <v>OK</v>
      </c>
      <c r="N176" s="204" t="str">
        <f t="shared" si="55"/>
        <v>OK</v>
      </c>
      <c r="O176" s="204" t="str">
        <f t="shared" si="55"/>
        <v>OK</v>
      </c>
      <c r="P176" s="204" t="str">
        <f t="shared" si="55"/>
        <v>OK</v>
      </c>
      <c r="Q176" s="204" t="str">
        <f t="shared" si="55"/>
        <v>OK</v>
      </c>
      <c r="R176" s="15"/>
    </row>
    <row r="177" spans="2:18" outlineLevel="2">
      <c r="B177" s="221" t="s">
        <v>253</v>
      </c>
      <c r="C177" s="273" t="s">
        <v>253</v>
      </c>
      <c r="D177" s="68" t="s">
        <v>301</v>
      </c>
      <c r="E177" s="255" t="s">
        <v>28</v>
      </c>
      <c r="F177" s="256" t="s">
        <v>28</v>
      </c>
      <c r="G177" s="256" t="s">
        <v>28</v>
      </c>
      <c r="H177" s="257" t="s">
        <v>28</v>
      </c>
      <c r="I177" s="208" t="str">
        <f t="shared" ref="I177:Q177" si="56">IF(I42&gt;=I64,"OK","BŁĄD")</f>
        <v>OK</v>
      </c>
      <c r="J177" s="204" t="str">
        <f t="shared" si="56"/>
        <v>OK</v>
      </c>
      <c r="K177" s="204" t="str">
        <f t="shared" si="56"/>
        <v>OK</v>
      </c>
      <c r="L177" s="204" t="str">
        <f t="shared" si="56"/>
        <v>OK</v>
      </c>
      <c r="M177" s="204" t="str">
        <f t="shared" si="56"/>
        <v>OK</v>
      </c>
      <c r="N177" s="204" t="str">
        <f t="shared" si="56"/>
        <v>OK</v>
      </c>
      <c r="O177" s="204" t="str">
        <f t="shared" si="56"/>
        <v>OK</v>
      </c>
      <c r="P177" s="204" t="str">
        <f t="shared" si="56"/>
        <v>OK</v>
      </c>
      <c r="Q177" s="204" t="str">
        <f t="shared" si="56"/>
        <v>OK</v>
      </c>
      <c r="R177" s="15"/>
    </row>
    <row r="178" spans="2:18" outlineLevel="2">
      <c r="B178" s="221" t="s">
        <v>254</v>
      </c>
      <c r="C178" s="273" t="s">
        <v>254</v>
      </c>
      <c r="D178" s="68" t="s">
        <v>302</v>
      </c>
      <c r="E178" s="255" t="s">
        <v>28</v>
      </c>
      <c r="F178" s="256" t="s">
        <v>28</v>
      </c>
      <c r="G178" s="256" t="s">
        <v>28</v>
      </c>
      <c r="H178" s="257" t="s">
        <v>28</v>
      </c>
      <c r="I178" s="208" t="str">
        <f t="shared" ref="I178:Q178" si="57">IF(I42&gt;=I104,"OK","BŁĄD")</f>
        <v>OK</v>
      </c>
      <c r="J178" s="204" t="str">
        <f t="shared" si="57"/>
        <v>OK</v>
      </c>
      <c r="K178" s="204" t="str">
        <f t="shared" si="57"/>
        <v>OK</v>
      </c>
      <c r="L178" s="204" t="str">
        <f t="shared" si="57"/>
        <v>OK</v>
      </c>
      <c r="M178" s="204" t="str">
        <f t="shared" si="57"/>
        <v>OK</v>
      </c>
      <c r="N178" s="204" t="str">
        <f t="shared" si="57"/>
        <v>OK</v>
      </c>
      <c r="O178" s="204" t="str">
        <f t="shared" si="57"/>
        <v>OK</v>
      </c>
      <c r="P178" s="204" t="str">
        <f t="shared" si="57"/>
        <v>OK</v>
      </c>
      <c r="Q178" s="204" t="str">
        <f t="shared" si="57"/>
        <v>OK</v>
      </c>
      <c r="R178" s="15"/>
    </row>
    <row r="179" spans="2:18" outlineLevel="2">
      <c r="B179" s="221" t="s">
        <v>257</v>
      </c>
      <c r="C179" s="273" t="s">
        <v>257</v>
      </c>
      <c r="D179" s="68" t="s">
        <v>305</v>
      </c>
      <c r="E179" s="255" t="s">
        <v>28</v>
      </c>
      <c r="F179" s="256" t="s">
        <v>28</v>
      </c>
      <c r="G179" s="256" t="s">
        <v>28</v>
      </c>
      <c r="H179" s="257" t="s">
        <v>28</v>
      </c>
      <c r="I179" s="208" t="str">
        <f t="shared" ref="I179:Q179" si="58">IF(I48&gt;=I49,"OK","BŁĄD")</f>
        <v>OK</v>
      </c>
      <c r="J179" s="204" t="str">
        <f t="shared" si="58"/>
        <v>OK</v>
      </c>
      <c r="K179" s="204" t="str">
        <f t="shared" si="58"/>
        <v>OK</v>
      </c>
      <c r="L179" s="204" t="str">
        <f t="shared" si="58"/>
        <v>OK</v>
      </c>
      <c r="M179" s="204" t="str">
        <f t="shared" si="58"/>
        <v>OK</v>
      </c>
      <c r="N179" s="204" t="str">
        <f t="shared" si="58"/>
        <v>OK</v>
      </c>
      <c r="O179" s="204" t="str">
        <f t="shared" si="58"/>
        <v>OK</v>
      </c>
      <c r="P179" s="204" t="str">
        <f t="shared" si="58"/>
        <v>OK</v>
      </c>
      <c r="Q179" s="204" t="str">
        <f t="shared" si="58"/>
        <v>OK</v>
      </c>
      <c r="R179" s="15"/>
    </row>
    <row r="180" spans="2:18" outlineLevel="2">
      <c r="B180" s="221" t="s">
        <v>256</v>
      </c>
      <c r="C180" s="273" t="s">
        <v>256</v>
      </c>
      <c r="D180" s="68" t="s">
        <v>304</v>
      </c>
      <c r="E180" s="255" t="s">
        <v>28</v>
      </c>
      <c r="F180" s="256" t="s">
        <v>28</v>
      </c>
      <c r="G180" s="256" t="s">
        <v>28</v>
      </c>
      <c r="H180" s="257" t="s">
        <v>28</v>
      </c>
      <c r="I180" s="208" t="str">
        <f t="shared" ref="I180:Q180" si="59">IF(I48&gt;=I105,"OK","BŁĄD")</f>
        <v>OK</v>
      </c>
      <c r="J180" s="204" t="str">
        <f t="shared" si="59"/>
        <v>OK</v>
      </c>
      <c r="K180" s="204" t="str">
        <f t="shared" si="59"/>
        <v>OK</v>
      </c>
      <c r="L180" s="204" t="str">
        <f t="shared" si="59"/>
        <v>OK</v>
      </c>
      <c r="M180" s="204" t="str">
        <f t="shared" si="59"/>
        <v>OK</v>
      </c>
      <c r="N180" s="204" t="str">
        <f t="shared" si="59"/>
        <v>OK</v>
      </c>
      <c r="O180" s="204" t="str">
        <f t="shared" si="59"/>
        <v>OK</v>
      </c>
      <c r="P180" s="204" t="str">
        <f t="shared" si="59"/>
        <v>OK</v>
      </c>
      <c r="Q180" s="204" t="str">
        <f t="shared" si="59"/>
        <v>OK</v>
      </c>
      <c r="R180" s="15"/>
    </row>
    <row r="181" spans="2:18" outlineLevel="2">
      <c r="B181" s="221" t="s">
        <v>258</v>
      </c>
      <c r="C181" s="273" t="s">
        <v>258</v>
      </c>
      <c r="D181" s="68" t="s">
        <v>306</v>
      </c>
      <c r="E181" s="255" t="s">
        <v>28</v>
      </c>
      <c r="F181" s="256" t="s">
        <v>28</v>
      </c>
      <c r="G181" s="256" t="s">
        <v>28</v>
      </c>
      <c r="H181" s="257" t="s">
        <v>28</v>
      </c>
      <c r="I181" s="208" t="str">
        <f t="shared" ref="I181:Q181" si="60">IF(I49&gt;=I96,"OK","BŁĄD")</f>
        <v>OK</v>
      </c>
      <c r="J181" s="204" t="str">
        <f t="shared" si="60"/>
        <v>OK</v>
      </c>
      <c r="K181" s="204" t="str">
        <f t="shared" si="60"/>
        <v>OK</v>
      </c>
      <c r="L181" s="204" t="str">
        <f t="shared" si="60"/>
        <v>OK</v>
      </c>
      <c r="M181" s="204" t="str">
        <f t="shared" si="60"/>
        <v>OK</v>
      </c>
      <c r="N181" s="204" t="str">
        <f t="shared" si="60"/>
        <v>OK</v>
      </c>
      <c r="O181" s="204" t="str">
        <f t="shared" si="60"/>
        <v>OK</v>
      </c>
      <c r="P181" s="204" t="str">
        <f t="shared" si="60"/>
        <v>OK</v>
      </c>
      <c r="Q181" s="204" t="str">
        <f t="shared" si="60"/>
        <v>OK</v>
      </c>
      <c r="R181" s="15"/>
    </row>
    <row r="182" spans="2:18" outlineLevel="2">
      <c r="B182" s="222" t="s">
        <v>259</v>
      </c>
      <c r="C182" s="227" t="s">
        <v>259</v>
      </c>
      <c r="D182" s="69" t="s">
        <v>307</v>
      </c>
      <c r="E182" s="259" t="s">
        <v>28</v>
      </c>
      <c r="F182" s="260" t="s">
        <v>28</v>
      </c>
      <c r="G182" s="260" t="s">
        <v>28</v>
      </c>
      <c r="H182" s="261" t="s">
        <v>28</v>
      </c>
      <c r="I182" s="209" t="str">
        <f t="shared" ref="I182:Q182" si="61">IF(I26&lt;&gt;0,IF(I27&lt;&gt;0,"OK","BŁĄD"),"N/D")</f>
        <v>OK</v>
      </c>
      <c r="J182" s="206" t="str">
        <f t="shared" si="61"/>
        <v>OK</v>
      </c>
      <c r="K182" s="206" t="str">
        <f t="shared" si="61"/>
        <v>OK</v>
      </c>
      <c r="L182" s="206" t="str">
        <f t="shared" si="61"/>
        <v>OK</v>
      </c>
      <c r="M182" s="206" t="str">
        <f t="shared" si="61"/>
        <v>OK</v>
      </c>
      <c r="N182" s="206" t="str">
        <f t="shared" si="61"/>
        <v>OK</v>
      </c>
      <c r="O182" s="206" t="str">
        <f t="shared" si="61"/>
        <v>OK</v>
      </c>
      <c r="P182" s="206" t="str">
        <f t="shared" si="61"/>
        <v>OK</v>
      </c>
      <c r="Q182" s="206" t="str">
        <f t="shared" si="61"/>
        <v>OK</v>
      </c>
      <c r="R182" s="15"/>
    </row>
    <row r="183" spans="2:18" outlineLevel="2">
      <c r="B183" s="63"/>
      <c r="C183" s="63"/>
      <c r="D183" s="63"/>
      <c r="E183" s="17"/>
      <c r="F183" s="17"/>
      <c r="G183" s="17"/>
      <c r="H183" s="17"/>
      <c r="I183" s="16"/>
      <c r="J183" s="16"/>
      <c r="K183" s="16"/>
      <c r="L183" s="16"/>
      <c r="M183" s="16"/>
      <c r="N183" s="16"/>
      <c r="O183" s="16"/>
      <c r="P183" s="16"/>
      <c r="Q183" s="16"/>
      <c r="R183" s="15"/>
    </row>
    <row r="184" spans="2:18" outlineLevel="1">
      <c r="B184" s="63"/>
      <c r="C184" s="63"/>
      <c r="D184" s="201" t="s">
        <v>336</v>
      </c>
      <c r="E184" s="17"/>
      <c r="F184" s="17"/>
      <c r="G184" s="17"/>
      <c r="H184" s="17"/>
      <c r="I184" s="16"/>
      <c r="J184" s="16"/>
      <c r="K184" s="16"/>
      <c r="L184" s="16"/>
      <c r="M184" s="16"/>
      <c r="N184" s="16"/>
      <c r="O184" s="16"/>
      <c r="P184" s="16"/>
      <c r="Q184" s="16"/>
      <c r="R184" s="15"/>
    </row>
    <row r="185" spans="2:18" ht="15" outlineLevel="2">
      <c r="B185" s="108"/>
      <c r="C185" s="291"/>
      <c r="D185" s="109" t="s">
        <v>29</v>
      </c>
      <c r="E185" s="149">
        <f t="shared" ref="E185:Q185" si="62">E11+E18</f>
        <v>9675664.1099999994</v>
      </c>
      <c r="F185" s="150">
        <f t="shared" si="62"/>
        <v>10139497.07</v>
      </c>
      <c r="G185" s="150">
        <f t="shared" si="62"/>
        <v>9244413.9900000002</v>
      </c>
      <c r="H185" s="151">
        <f t="shared" si="62"/>
        <v>8789986.4900000002</v>
      </c>
      <c r="I185" s="110">
        <f t="shared" si="62"/>
        <v>9831848.8399999999</v>
      </c>
      <c r="J185" s="111">
        <f t="shared" si="62"/>
        <v>7895743</v>
      </c>
      <c r="K185" s="111">
        <f t="shared" si="62"/>
        <v>7988465</v>
      </c>
      <c r="L185" s="111">
        <f t="shared" si="62"/>
        <v>8053018</v>
      </c>
      <c r="M185" s="111">
        <f t="shared" si="62"/>
        <v>8194608</v>
      </c>
      <c r="N185" s="111">
        <f t="shared" si="62"/>
        <v>8343446</v>
      </c>
      <c r="O185" s="111">
        <f t="shared" si="62"/>
        <v>8499749</v>
      </c>
      <c r="P185" s="111">
        <f t="shared" si="62"/>
        <v>8663741</v>
      </c>
      <c r="Q185" s="111">
        <f t="shared" si="62"/>
        <v>8835653</v>
      </c>
      <c r="R185" s="108"/>
    </row>
    <row r="186" spans="2:18" ht="15" outlineLevel="2">
      <c r="B186" s="108"/>
      <c r="C186" s="291"/>
      <c r="D186" s="112" t="s">
        <v>30</v>
      </c>
      <c r="E186" s="152">
        <f t="shared" ref="E186:Q186" si="63">E22+E30</f>
        <v>10779094.59</v>
      </c>
      <c r="F186" s="153">
        <f t="shared" si="63"/>
        <v>9050022.6400000006</v>
      </c>
      <c r="G186" s="153">
        <f t="shared" si="63"/>
        <v>10587520.99</v>
      </c>
      <c r="H186" s="154">
        <f t="shared" si="63"/>
        <v>9708899.1999999993</v>
      </c>
      <c r="I186" s="113">
        <f t="shared" si="63"/>
        <v>10489061.84</v>
      </c>
      <c r="J186" s="114">
        <f t="shared" si="63"/>
        <v>7358051</v>
      </c>
      <c r="K186" s="114">
        <f t="shared" si="63"/>
        <v>7470008</v>
      </c>
      <c r="L186" s="114">
        <f t="shared" si="63"/>
        <v>7603018</v>
      </c>
      <c r="M186" s="114">
        <f t="shared" si="63"/>
        <v>7844608</v>
      </c>
      <c r="N186" s="114">
        <f t="shared" si="63"/>
        <v>8043446</v>
      </c>
      <c r="O186" s="114">
        <f t="shared" si="63"/>
        <v>8249749</v>
      </c>
      <c r="P186" s="114">
        <f t="shared" si="63"/>
        <v>8563741</v>
      </c>
      <c r="Q186" s="114">
        <f t="shared" si="63"/>
        <v>8797319.8499999996</v>
      </c>
      <c r="R186" s="108"/>
    </row>
    <row r="187" spans="2:18" ht="15" outlineLevel="2">
      <c r="B187" s="108"/>
      <c r="C187" s="291"/>
      <c r="D187" s="112" t="s">
        <v>311</v>
      </c>
      <c r="E187" s="152">
        <f t="shared" ref="E187:Q187" si="64">E10-E21</f>
        <v>-1103430.4800000004</v>
      </c>
      <c r="F187" s="153">
        <f t="shared" si="64"/>
        <v>1089474.4299999997</v>
      </c>
      <c r="G187" s="153">
        <f t="shared" si="64"/>
        <v>-1343107</v>
      </c>
      <c r="H187" s="154">
        <f t="shared" si="64"/>
        <v>-918912.70999999903</v>
      </c>
      <c r="I187" s="113">
        <f t="shared" si="64"/>
        <v>-657213</v>
      </c>
      <c r="J187" s="114">
        <f t="shared" si="64"/>
        <v>537692</v>
      </c>
      <c r="K187" s="114">
        <f t="shared" si="64"/>
        <v>518457</v>
      </c>
      <c r="L187" s="114">
        <f t="shared" si="64"/>
        <v>450000</v>
      </c>
      <c r="M187" s="114">
        <f t="shared" si="64"/>
        <v>350000</v>
      </c>
      <c r="N187" s="114">
        <f t="shared" si="64"/>
        <v>300000</v>
      </c>
      <c r="O187" s="114">
        <f t="shared" si="64"/>
        <v>250000</v>
      </c>
      <c r="P187" s="114">
        <f t="shared" si="64"/>
        <v>100000</v>
      </c>
      <c r="Q187" s="114">
        <f t="shared" si="64"/>
        <v>38333.150000000373</v>
      </c>
      <c r="R187" s="108"/>
    </row>
    <row r="188" spans="2:18" ht="15" outlineLevel="2">
      <c r="B188" s="108"/>
      <c r="C188" s="291"/>
      <c r="D188" s="115" t="s">
        <v>312</v>
      </c>
      <c r="E188" s="231" t="s">
        <v>28</v>
      </c>
      <c r="F188" s="153">
        <f>E48+F37-F42+(F105-E105)+F110</f>
        <v>1374219.4299999997</v>
      </c>
      <c r="G188" s="262" t="s">
        <v>28</v>
      </c>
      <c r="H188" s="154">
        <f>F48+H37-H42+(H105-F105)+H110</f>
        <v>2147269.1499999994</v>
      </c>
      <c r="I188" s="113">
        <f t="shared" ref="I188:Q188" si="65">H48+I37-I42+(I105-H105)+I110</f>
        <v>2544482.15</v>
      </c>
      <c r="J188" s="114">
        <f t="shared" si="65"/>
        <v>2006790.15</v>
      </c>
      <c r="K188" s="114">
        <f t="shared" si="65"/>
        <v>1488333.15</v>
      </c>
      <c r="L188" s="114">
        <f t="shared" si="65"/>
        <v>1038333.1499999999</v>
      </c>
      <c r="M188" s="114">
        <f t="shared" si="65"/>
        <v>688333.15</v>
      </c>
      <c r="N188" s="114">
        <f t="shared" si="65"/>
        <v>388333.15</v>
      </c>
      <c r="O188" s="114">
        <f t="shared" si="65"/>
        <v>138333.15000000002</v>
      </c>
      <c r="P188" s="114">
        <f t="shared" si="65"/>
        <v>38333.149999999994</v>
      </c>
      <c r="Q188" s="114">
        <f t="shared" si="65"/>
        <v>0</v>
      </c>
      <c r="R188" s="108"/>
    </row>
    <row r="189" spans="2:18" ht="24" outlineLevel="2">
      <c r="B189" s="108"/>
      <c r="C189" s="291"/>
      <c r="D189" s="116" t="s">
        <v>338</v>
      </c>
      <c r="E189" s="203" t="s">
        <v>28</v>
      </c>
      <c r="F189" s="155">
        <f>E96-(F98+F99+F100+F101)</f>
        <v>0</v>
      </c>
      <c r="G189" s="263" t="s">
        <v>28</v>
      </c>
      <c r="H189" s="156">
        <f>F96-(H98+H99+H100+H101)</f>
        <v>0</v>
      </c>
      <c r="I189" s="117">
        <f t="shared" ref="I189:Q189" si="66">H96-(I98+I99+I100+I101)</f>
        <v>0</v>
      </c>
      <c r="J189" s="118">
        <f t="shared" si="66"/>
        <v>0</v>
      </c>
      <c r="K189" s="118">
        <f t="shared" si="66"/>
        <v>0</v>
      </c>
      <c r="L189" s="118">
        <f t="shared" si="66"/>
        <v>0</v>
      </c>
      <c r="M189" s="118">
        <f t="shared" si="66"/>
        <v>0</v>
      </c>
      <c r="N189" s="118">
        <f t="shared" si="66"/>
        <v>0</v>
      </c>
      <c r="O189" s="118">
        <f t="shared" si="66"/>
        <v>0</v>
      </c>
      <c r="P189" s="118">
        <f t="shared" si="66"/>
        <v>0</v>
      </c>
      <c r="Q189" s="118">
        <f t="shared" si="66"/>
        <v>0</v>
      </c>
      <c r="R189" s="108"/>
    </row>
    <row r="190" spans="2:18">
      <c r="E190" s="6"/>
      <c r="F190" s="6"/>
      <c r="G190" s="6"/>
      <c r="H190" s="6"/>
    </row>
    <row r="191" spans="2:18" ht="15.75">
      <c r="D191" s="198" t="s">
        <v>32</v>
      </c>
      <c r="E191" s="58"/>
      <c r="F191" s="58"/>
      <c r="G191" s="58"/>
      <c r="H191" s="58"/>
    </row>
    <row r="192" spans="2:18" outlineLevel="1">
      <c r="D192" s="199" t="s">
        <v>37</v>
      </c>
      <c r="E192" s="59"/>
      <c r="F192" s="59"/>
      <c r="G192" s="59"/>
      <c r="H192" s="59"/>
    </row>
    <row r="193" spans="2:18" outlineLevel="2">
      <c r="D193" s="23">
        <v>0</v>
      </c>
      <c r="E193" s="26" t="str">
        <f>+"różnica mniejsza od "&amp;TEXT(D193*100,"0,0")&amp;"%"</f>
        <v>różnica mniejsza od 0,0%</v>
      </c>
      <c r="F193" s="60"/>
      <c r="G193" s="60"/>
      <c r="H193" s="60"/>
      <c r="I193" s="15"/>
      <c r="J193" s="2"/>
      <c r="K193" s="2"/>
      <c r="L193" s="2"/>
      <c r="M193" s="2"/>
      <c r="N193" s="2"/>
      <c r="O193" s="2"/>
      <c r="P193" s="2"/>
      <c r="Q193" s="2"/>
    </row>
    <row r="194" spans="2:18" outlineLevel="2">
      <c r="D194" s="24">
        <v>5.0000000000000001E-3</v>
      </c>
      <c r="E194" s="26" t="str">
        <f>+"różnica mniejsza od "&amp;TEXT(D194*100,"0,0")&amp;"%"</f>
        <v>różnica mniejsza od 0,5%</v>
      </c>
      <c r="F194" s="60"/>
      <c r="G194" s="60"/>
      <c r="H194" s="60"/>
      <c r="I194" s="15"/>
      <c r="J194" s="2"/>
      <c r="K194" s="2"/>
      <c r="L194" s="2"/>
      <c r="M194" s="2"/>
      <c r="N194" s="2"/>
      <c r="O194" s="2"/>
      <c r="P194" s="2"/>
      <c r="Q194" s="2"/>
    </row>
    <row r="195" spans="2:18" outlineLevel="2">
      <c r="D195" s="25">
        <v>0.01</v>
      </c>
      <c r="E195" s="26" t="str">
        <f>+"różnica mniejsza od "&amp;TEXT(D195*100,"0,0")&amp;"%"</f>
        <v>różnica mniejsza od 1,0%</v>
      </c>
      <c r="F195" s="60"/>
      <c r="G195" s="60"/>
      <c r="H195" s="60"/>
      <c r="I195" s="15"/>
      <c r="J195" s="2"/>
      <c r="K195" s="2"/>
      <c r="L195" s="2"/>
      <c r="M195" s="2"/>
      <c r="N195" s="2"/>
      <c r="O195" s="2"/>
      <c r="P195" s="2"/>
      <c r="Q195" s="2"/>
    </row>
    <row r="196" spans="2:18" outlineLevel="2">
      <c r="D196" s="190" t="s">
        <v>326</v>
      </c>
      <c r="E196" s="235" t="s">
        <v>28</v>
      </c>
      <c r="F196" s="236" t="s">
        <v>28</v>
      </c>
      <c r="G196" s="236" t="s">
        <v>28</v>
      </c>
      <c r="H196" s="237" t="s">
        <v>28</v>
      </c>
      <c r="I196" s="191">
        <f t="shared" ref="I196:Q196" si="67">+IF(I10=0,"",I59-I54)</f>
        <v>2.6599999999999999E-2</v>
      </c>
      <c r="J196" s="192">
        <f t="shared" si="67"/>
        <v>-1.6000000000000042E-3</v>
      </c>
      <c r="K196" s="192">
        <f t="shared" si="67"/>
        <v>-1.6000000000000042E-3</v>
      </c>
      <c r="L196" s="192">
        <f t="shared" si="67"/>
        <v>2.1599999999999994E-2</v>
      </c>
      <c r="M196" s="192">
        <f t="shared" si="67"/>
        <v>5.0199999999999995E-2</v>
      </c>
      <c r="N196" s="192">
        <f t="shared" si="67"/>
        <v>5.5399999999999998E-2</v>
      </c>
      <c r="O196" s="192">
        <f t="shared" si="67"/>
        <v>5.7299999999999997E-2</v>
      </c>
      <c r="P196" s="192">
        <f t="shared" si="67"/>
        <v>7.6999999999999999E-2</v>
      </c>
      <c r="Q196" s="192">
        <f t="shared" si="67"/>
        <v>8.7100000000000011E-2</v>
      </c>
    </row>
    <row r="197" spans="2:18" outlineLevel="2">
      <c r="D197" s="193" t="s">
        <v>327</v>
      </c>
      <c r="E197" s="238" t="s">
        <v>28</v>
      </c>
      <c r="F197" s="239" t="s">
        <v>28</v>
      </c>
      <c r="G197" s="239" t="s">
        <v>28</v>
      </c>
      <c r="H197" s="240" t="s">
        <v>28</v>
      </c>
      <c r="I197" s="194">
        <f t="shared" ref="I197:Q197" si="68">+IF(I10=0,"",I59-I55)</f>
        <v>2.93E-2</v>
      </c>
      <c r="J197" s="195">
        <f t="shared" si="68"/>
        <v>1.2999999999999956E-3</v>
      </c>
      <c r="K197" s="195">
        <f t="shared" si="68"/>
        <v>6.999999999999923E-4</v>
      </c>
      <c r="L197" s="195">
        <f t="shared" si="68"/>
        <v>2.3299999999999994E-2</v>
      </c>
      <c r="M197" s="195">
        <f t="shared" si="68"/>
        <v>5.1399999999999994E-2</v>
      </c>
      <c r="N197" s="195">
        <f t="shared" si="68"/>
        <v>5.6100000000000004E-2</v>
      </c>
      <c r="O197" s="195">
        <f t="shared" si="68"/>
        <v>5.7499999999999996E-2</v>
      </c>
      <c r="P197" s="195">
        <f t="shared" si="68"/>
        <v>7.6999999999999999E-2</v>
      </c>
      <c r="Q197" s="195">
        <f t="shared" si="68"/>
        <v>8.7100000000000011E-2</v>
      </c>
    </row>
    <row r="198" spans="2:18" outlineLevel="2">
      <c r="D198" s="190" t="s">
        <v>328</v>
      </c>
      <c r="E198" s="235" t="s">
        <v>28</v>
      </c>
      <c r="F198" s="236" t="s">
        <v>28</v>
      </c>
      <c r="G198" s="236" t="s">
        <v>28</v>
      </c>
      <c r="H198" s="237" t="s">
        <v>28</v>
      </c>
      <c r="I198" s="191">
        <f t="shared" ref="I198:Q198" si="69">+IF(I10=0,"",I60-I54)</f>
        <v>4.3399999999999994E-2</v>
      </c>
      <c r="J198" s="192">
        <f t="shared" si="69"/>
        <v>1.5100000000000002E-2</v>
      </c>
      <c r="K198" s="192">
        <f t="shared" si="69"/>
        <v>1.5100000000000002E-2</v>
      </c>
      <c r="L198" s="192">
        <f t="shared" si="69"/>
        <v>2.1599999999999994E-2</v>
      </c>
      <c r="M198" s="192">
        <f t="shared" si="69"/>
        <v>5.0199999999999995E-2</v>
      </c>
      <c r="N198" s="192">
        <f t="shared" si="69"/>
        <v>5.5399999999999998E-2</v>
      </c>
      <c r="O198" s="192">
        <f t="shared" si="69"/>
        <v>5.7299999999999997E-2</v>
      </c>
      <c r="P198" s="192">
        <f t="shared" si="69"/>
        <v>7.6999999999999999E-2</v>
      </c>
      <c r="Q198" s="192">
        <f t="shared" si="69"/>
        <v>8.7100000000000011E-2</v>
      </c>
    </row>
    <row r="199" spans="2:18" outlineLevel="2">
      <c r="D199" s="193" t="s">
        <v>329</v>
      </c>
      <c r="E199" s="238" t="s">
        <v>28</v>
      </c>
      <c r="F199" s="239" t="s">
        <v>28</v>
      </c>
      <c r="G199" s="239" t="s">
        <v>28</v>
      </c>
      <c r="H199" s="240" t="s">
        <v>28</v>
      </c>
      <c r="I199" s="194">
        <f t="shared" ref="I199:Q199" si="70">+IF(I10=0,"",I60-I55)</f>
        <v>4.6099999999999995E-2</v>
      </c>
      <c r="J199" s="195">
        <f t="shared" si="70"/>
        <v>1.8000000000000002E-2</v>
      </c>
      <c r="K199" s="195">
        <f t="shared" si="70"/>
        <v>1.7399999999999999E-2</v>
      </c>
      <c r="L199" s="195">
        <f t="shared" si="70"/>
        <v>2.3299999999999994E-2</v>
      </c>
      <c r="M199" s="195">
        <f t="shared" si="70"/>
        <v>5.1399999999999994E-2</v>
      </c>
      <c r="N199" s="195">
        <f t="shared" si="70"/>
        <v>5.6100000000000004E-2</v>
      </c>
      <c r="O199" s="195">
        <f t="shared" si="70"/>
        <v>5.7499999999999996E-2</v>
      </c>
      <c r="P199" s="195">
        <f t="shared" si="70"/>
        <v>7.6999999999999999E-2</v>
      </c>
      <c r="Q199" s="195">
        <f t="shared" si="70"/>
        <v>8.7100000000000011E-2</v>
      </c>
    </row>
    <row r="200" spans="2:18" outlineLevel="1">
      <c r="D200" s="199" t="s">
        <v>333</v>
      </c>
      <c r="E200" s="59"/>
      <c r="F200" s="59"/>
      <c r="G200" s="59"/>
      <c r="H200" s="59"/>
      <c r="I200" s="2"/>
      <c r="J200" s="2"/>
      <c r="K200" s="2"/>
      <c r="L200" s="2"/>
      <c r="M200" s="2"/>
      <c r="N200" s="2"/>
      <c r="O200" s="2"/>
      <c r="P200" s="2"/>
      <c r="Q200" s="2"/>
    </row>
    <row r="201" spans="2:18" outlineLevel="2">
      <c r="D201" s="20">
        <v>0.05</v>
      </c>
      <c r="E201" s="26" t="str">
        <f>+"zmiana większa niż +/- "&amp;TEXT(D201*100,"0,0")&amp;"%"</f>
        <v>zmiana większa niż +/- 5,0%</v>
      </c>
      <c r="F201" s="61"/>
      <c r="G201" s="61"/>
      <c r="H201" s="61"/>
      <c r="J201" s="2"/>
      <c r="K201" s="2"/>
      <c r="L201" s="2"/>
      <c r="M201" s="2"/>
      <c r="N201" s="2"/>
      <c r="O201" s="2"/>
      <c r="P201" s="2"/>
      <c r="Q201" s="2"/>
    </row>
    <row r="202" spans="2:18" outlineLevel="2">
      <c r="D202" s="21">
        <v>0.1</v>
      </c>
      <c r="E202" s="26" t="str">
        <f>+"zmiana większa niż +/- "&amp;TEXT(D202*100,"0,0")&amp;"%"</f>
        <v>zmiana większa niż +/- 10,0%</v>
      </c>
      <c r="F202" s="61"/>
      <c r="G202" s="61"/>
      <c r="H202" s="61"/>
      <c r="J202" s="2"/>
      <c r="K202" s="2"/>
      <c r="L202" s="2"/>
      <c r="M202" s="2"/>
      <c r="N202" s="2"/>
      <c r="O202" s="2"/>
      <c r="P202" s="2"/>
      <c r="Q202" s="2"/>
    </row>
    <row r="203" spans="2:18" ht="24" outlineLevel="2">
      <c r="D203" s="22">
        <v>0.2</v>
      </c>
      <c r="E203" s="26" t="str">
        <f>+"zmiana większa niż +/- "&amp;TEXT(D203*100,"0,0")&amp;"%"</f>
        <v>zmiana większa niż +/- 20,0%</v>
      </c>
      <c r="F203" s="61"/>
      <c r="G203" s="266" t="s">
        <v>347</v>
      </c>
      <c r="H203" s="266" t="s">
        <v>346</v>
      </c>
      <c r="J203" s="2"/>
      <c r="K203" s="2"/>
      <c r="L203" s="2"/>
      <c r="M203" s="2"/>
      <c r="N203" s="2"/>
      <c r="O203" s="2"/>
      <c r="P203" s="2"/>
      <c r="Q203" s="2"/>
    </row>
    <row r="204" spans="2:18" outlineLevel="2">
      <c r="B204" s="180"/>
      <c r="C204" s="292"/>
      <c r="D204" s="120" t="s">
        <v>24</v>
      </c>
      <c r="E204" s="241" t="s">
        <v>325</v>
      </c>
      <c r="F204" s="121">
        <f t="shared" ref="F204:Q204" si="71">+IF(F10=0,0,IF(E230&lt;&gt;0,F230/E230-1,0))</f>
        <v>4.7938100654054239E-2</v>
      </c>
      <c r="G204" s="121">
        <f t="shared" si="71"/>
        <v>-8.8276871507592447E-2</v>
      </c>
      <c r="H204" s="122">
        <f t="shared" si="71"/>
        <v>-4.9156982853815312E-2</v>
      </c>
      <c r="I204" s="181">
        <f t="shared" si="71"/>
        <v>0.11852832210667019</v>
      </c>
      <c r="J204" s="182">
        <f t="shared" si="71"/>
        <v>-0.19692184771221521</v>
      </c>
      <c r="K204" s="182">
        <f t="shared" si="71"/>
        <v>1.1743290023497499E-2</v>
      </c>
      <c r="L204" s="182">
        <f t="shared" si="71"/>
        <v>8.0807764695720596E-3</v>
      </c>
      <c r="M204" s="182">
        <f t="shared" si="71"/>
        <v>1.7582228178305348E-2</v>
      </c>
      <c r="N204" s="182">
        <f t="shared" si="71"/>
        <v>1.8162918836386099E-2</v>
      </c>
      <c r="O204" s="182">
        <f t="shared" si="71"/>
        <v>1.8733626369727752E-2</v>
      </c>
      <c r="P204" s="182">
        <f t="shared" si="71"/>
        <v>1.9293746203564277E-2</v>
      </c>
      <c r="Q204" s="182">
        <f t="shared" si="71"/>
        <v>1.9842698437083861E-2</v>
      </c>
      <c r="R204" s="183"/>
    </row>
    <row r="205" spans="2:18" ht="15" outlineLevel="2">
      <c r="B205" s="119"/>
      <c r="C205" s="293"/>
      <c r="D205" s="123" t="s">
        <v>315</v>
      </c>
      <c r="E205" s="242" t="s">
        <v>325</v>
      </c>
      <c r="F205" s="157">
        <f t="shared" ref="F205:Q205" si="72">+IF(F10=0,0,IF(E231&lt;&gt;0,F231/E231-1,0))</f>
        <v>-3.2603306853825398E-2</v>
      </c>
      <c r="G205" s="157">
        <f t="shared" si="72"/>
        <v>3.2410217769205607E-2</v>
      </c>
      <c r="H205" s="158">
        <f t="shared" si="72"/>
        <v>5.3846378405071338E-3</v>
      </c>
      <c r="I205" s="124">
        <f t="shared" si="72"/>
        <v>-1.2477786039263306E-3</v>
      </c>
      <c r="J205" s="125">
        <f t="shared" si="72"/>
        <v>-7.9259813266101764E-2</v>
      </c>
      <c r="K205" s="125">
        <f t="shared" si="72"/>
        <v>2.0915693758353449E-2</v>
      </c>
      <c r="L205" s="125">
        <f t="shared" si="72"/>
        <v>8.0807764695720596E-3</v>
      </c>
      <c r="M205" s="125">
        <f t="shared" si="72"/>
        <v>1.7582228178305348E-2</v>
      </c>
      <c r="N205" s="125">
        <f t="shared" si="72"/>
        <v>1.8162918836386099E-2</v>
      </c>
      <c r="O205" s="125">
        <f t="shared" si="72"/>
        <v>1.8733626369727752E-2</v>
      </c>
      <c r="P205" s="125">
        <f t="shared" si="72"/>
        <v>1.9293746203564277E-2</v>
      </c>
      <c r="Q205" s="125">
        <f t="shared" si="72"/>
        <v>1.9842698437083861E-2</v>
      </c>
      <c r="R205" s="108"/>
    </row>
    <row r="206" spans="2:18" ht="15" outlineLevel="2">
      <c r="B206" s="119"/>
      <c r="C206" s="293"/>
      <c r="D206" s="126" t="s">
        <v>316</v>
      </c>
      <c r="E206" s="243" t="s">
        <v>325</v>
      </c>
      <c r="F206" s="159">
        <f t="shared" ref="F206:Q206" si="73">+IF(F10=0,0,IF(E232&lt;&gt;0,F232/E232-1,0))</f>
        <v>7.6886796739370267E-2</v>
      </c>
      <c r="G206" s="159">
        <f t="shared" si="73"/>
        <v>-7.3111621923550252E-2</v>
      </c>
      <c r="H206" s="160">
        <f t="shared" si="73"/>
        <v>1.5288737599314262E-2</v>
      </c>
      <c r="I206" s="124">
        <f t="shared" si="73"/>
        <v>1.1240713588043016E-2</v>
      </c>
      <c r="J206" s="125">
        <f t="shared" si="73"/>
        <v>2.3097031880688457E-2</v>
      </c>
      <c r="K206" s="125">
        <f t="shared" si="73"/>
        <v>2.0915693758353449E-2</v>
      </c>
      <c r="L206" s="125">
        <f t="shared" si="73"/>
        <v>8.0807764695720596E-3</v>
      </c>
      <c r="M206" s="125">
        <f t="shared" si="73"/>
        <v>1.7582228178305348E-2</v>
      </c>
      <c r="N206" s="125">
        <f t="shared" si="73"/>
        <v>1.8162918836386099E-2</v>
      </c>
      <c r="O206" s="125">
        <f t="shared" si="73"/>
        <v>1.8733626369727752E-2</v>
      </c>
      <c r="P206" s="125">
        <f t="shared" si="73"/>
        <v>1.9293746203564277E-2</v>
      </c>
      <c r="Q206" s="125">
        <f t="shared" si="73"/>
        <v>1.9842698437083861E-2</v>
      </c>
      <c r="R206" s="108"/>
    </row>
    <row r="207" spans="2:18" ht="15" outlineLevel="2">
      <c r="B207" s="119"/>
      <c r="C207" s="293"/>
      <c r="D207" s="126" t="s">
        <v>317</v>
      </c>
      <c r="E207" s="243" t="s">
        <v>325</v>
      </c>
      <c r="F207" s="159">
        <f t="shared" ref="F207:Q207" si="74">+IF(F10=0,0,IF(E233&lt;&gt;0,F233/E233-1,0))</f>
        <v>-0.84084648320269106</v>
      </c>
      <c r="G207" s="159">
        <f t="shared" si="74"/>
        <v>5.3030501361752291</v>
      </c>
      <c r="H207" s="160">
        <f t="shared" si="74"/>
        <v>-6.7361957751958301E-2</v>
      </c>
      <c r="I207" s="124">
        <f t="shared" si="74"/>
        <v>-0.10110606676702438</v>
      </c>
      <c r="J207" s="125">
        <f t="shared" si="74"/>
        <v>-1</v>
      </c>
      <c r="K207" s="125">
        <f t="shared" si="74"/>
        <v>0</v>
      </c>
      <c r="L207" s="125">
        <f t="shared" si="74"/>
        <v>0</v>
      </c>
      <c r="M207" s="125">
        <f t="shared" si="74"/>
        <v>0</v>
      </c>
      <c r="N207" s="125">
        <f t="shared" si="74"/>
        <v>0</v>
      </c>
      <c r="O207" s="125">
        <f t="shared" si="74"/>
        <v>0</v>
      </c>
      <c r="P207" s="125">
        <f t="shared" si="74"/>
        <v>0</v>
      </c>
      <c r="Q207" s="125">
        <f t="shared" si="74"/>
        <v>0</v>
      </c>
      <c r="R207" s="108"/>
    </row>
    <row r="208" spans="2:18" ht="24" outlineLevel="2">
      <c r="B208" s="119"/>
      <c r="C208" s="293"/>
      <c r="D208" s="126" t="s">
        <v>318</v>
      </c>
      <c r="E208" s="243" t="s">
        <v>325</v>
      </c>
      <c r="F208" s="159">
        <f t="shared" ref="F208:Q208" si="75">+IF(F10=0,0,IF(E234&lt;&gt;0,F234/E234-1,0))</f>
        <v>-0.82936077555686394</v>
      </c>
      <c r="G208" s="159">
        <f t="shared" si="75"/>
        <v>2.5717272247068843</v>
      </c>
      <c r="H208" s="160">
        <f t="shared" si="75"/>
        <v>8.9270433808403826E-3</v>
      </c>
      <c r="I208" s="124">
        <f t="shared" si="75"/>
        <v>0.25848843040971481</v>
      </c>
      <c r="J208" s="125">
        <f t="shared" si="75"/>
        <v>-1</v>
      </c>
      <c r="K208" s="125">
        <f t="shared" si="75"/>
        <v>0</v>
      </c>
      <c r="L208" s="125">
        <f t="shared" si="75"/>
        <v>0</v>
      </c>
      <c r="M208" s="125">
        <f t="shared" si="75"/>
        <v>0</v>
      </c>
      <c r="N208" s="125">
        <f t="shared" si="75"/>
        <v>0</v>
      </c>
      <c r="O208" s="125">
        <f t="shared" si="75"/>
        <v>0</v>
      </c>
      <c r="P208" s="125">
        <f t="shared" si="75"/>
        <v>0</v>
      </c>
      <c r="Q208" s="125">
        <f t="shared" si="75"/>
        <v>0</v>
      </c>
      <c r="R208" s="108"/>
    </row>
    <row r="209" spans="2:18" ht="15" outlineLevel="2">
      <c r="B209" s="119"/>
      <c r="C209" s="293"/>
      <c r="D209" s="127" t="s">
        <v>33</v>
      </c>
      <c r="E209" s="244" t="s">
        <v>325</v>
      </c>
      <c r="F209" s="161">
        <f t="shared" ref="F209:Q209" si="76">+IF(F10=0,0,IF(E235&lt;&gt;0,F235/E235-1,0))</f>
        <v>-0.90293103557512588</v>
      </c>
      <c r="G209" s="161">
        <f t="shared" si="76"/>
        <v>31.256632778273833</v>
      </c>
      <c r="H209" s="162">
        <f t="shared" si="76"/>
        <v>-0.1476305139619587</v>
      </c>
      <c r="I209" s="128">
        <f t="shared" si="76"/>
        <v>-0.54895178769398045</v>
      </c>
      <c r="J209" s="129">
        <f t="shared" si="76"/>
        <v>-1</v>
      </c>
      <c r="K209" s="129">
        <f t="shared" si="76"/>
        <v>0</v>
      </c>
      <c r="L209" s="129">
        <f t="shared" si="76"/>
        <v>0</v>
      </c>
      <c r="M209" s="129">
        <f t="shared" si="76"/>
        <v>0</v>
      </c>
      <c r="N209" s="129">
        <f t="shared" si="76"/>
        <v>0</v>
      </c>
      <c r="O209" s="129">
        <f t="shared" si="76"/>
        <v>0</v>
      </c>
      <c r="P209" s="129">
        <f t="shared" si="76"/>
        <v>0</v>
      </c>
      <c r="Q209" s="129">
        <f t="shared" si="76"/>
        <v>0</v>
      </c>
      <c r="R209" s="108"/>
    </row>
    <row r="210" spans="2:18" outlineLevel="2">
      <c r="B210" s="180"/>
      <c r="C210" s="292"/>
      <c r="D210" s="120" t="s">
        <v>19</v>
      </c>
      <c r="E210" s="241" t="s">
        <v>325</v>
      </c>
      <c r="F210" s="121">
        <f t="shared" ref="F210:Q210" si="77">+IF(F10=0,0,IF(E236&lt;&gt;0,F236/E236-1,0))</f>
        <v>-0.16040975756944342</v>
      </c>
      <c r="G210" s="121">
        <f t="shared" si="77"/>
        <v>0.16988889543816654</v>
      </c>
      <c r="H210" s="122">
        <f t="shared" si="77"/>
        <v>-8.2986545276261259E-2</v>
      </c>
      <c r="I210" s="181">
        <f t="shared" si="77"/>
        <v>8.0355416605829122E-2</v>
      </c>
      <c r="J210" s="182">
        <f t="shared" si="77"/>
        <v>-0.29850246740465403</v>
      </c>
      <c r="K210" s="182">
        <f t="shared" si="77"/>
        <v>1.5215578146984932E-2</v>
      </c>
      <c r="L210" s="182">
        <f t="shared" si="77"/>
        <v>1.7805871158370845E-2</v>
      </c>
      <c r="M210" s="182">
        <f t="shared" si="77"/>
        <v>3.1775539660697794E-2</v>
      </c>
      <c r="N210" s="182">
        <f t="shared" si="77"/>
        <v>2.5347091913324515E-2</v>
      </c>
      <c r="O210" s="182">
        <f t="shared" si="77"/>
        <v>2.5648583952698978E-2</v>
      </c>
      <c r="P210" s="182">
        <f t="shared" si="77"/>
        <v>3.8060794334469961E-2</v>
      </c>
      <c r="Q210" s="182">
        <f t="shared" si="77"/>
        <v>2.7275328620984585E-2</v>
      </c>
      <c r="R210" s="183"/>
    </row>
    <row r="211" spans="2:18" ht="15" outlineLevel="2">
      <c r="B211" s="119"/>
      <c r="C211" s="293"/>
      <c r="D211" s="130" t="s">
        <v>314</v>
      </c>
      <c r="E211" s="243" t="s">
        <v>325</v>
      </c>
      <c r="F211" s="159">
        <f t="shared" ref="F211:Q211" si="78">+IF(F10=0,0,IF(E237&lt;&gt;0,F237/E237-1,0))</f>
        <v>-0.11566061032279851</v>
      </c>
      <c r="G211" s="159">
        <f t="shared" si="78"/>
        <v>0.18188295687181388</v>
      </c>
      <c r="H211" s="160">
        <f t="shared" si="78"/>
        <v>-9.8336564881483568E-2</v>
      </c>
      <c r="I211" s="124">
        <f t="shared" si="78"/>
        <v>0.13638025029246759</v>
      </c>
      <c r="J211" s="125">
        <f t="shared" si="78"/>
        <v>-0.23060668449869959</v>
      </c>
      <c r="K211" s="125">
        <f t="shared" si="78"/>
        <v>2.509858569755985E-2</v>
      </c>
      <c r="L211" s="125">
        <f t="shared" si="78"/>
        <v>1.7805871158370845E-2</v>
      </c>
      <c r="M211" s="125">
        <f t="shared" si="78"/>
        <v>3.1775539660697794E-2</v>
      </c>
      <c r="N211" s="125">
        <f t="shared" si="78"/>
        <v>2.5347091913324515E-2</v>
      </c>
      <c r="O211" s="125">
        <f t="shared" si="78"/>
        <v>2.5648583952698978E-2</v>
      </c>
      <c r="P211" s="125">
        <f t="shared" si="78"/>
        <v>3.8060794334469961E-2</v>
      </c>
      <c r="Q211" s="125">
        <f t="shared" si="78"/>
        <v>2.7275328620984585E-2</v>
      </c>
      <c r="R211" s="108"/>
    </row>
    <row r="212" spans="2:18" outlineLevel="2">
      <c r="B212" s="180"/>
      <c r="C212" s="292"/>
      <c r="D212" s="131" t="s">
        <v>34</v>
      </c>
      <c r="E212" s="245" t="s">
        <v>325</v>
      </c>
      <c r="F212" s="163">
        <f t="shared" ref="F212:Q212" si="79">+IF(F10=0,0,IF(E238&lt;&gt;0,F238/E238-1,0))</f>
        <v>-4.1282903284519445E-2</v>
      </c>
      <c r="G212" s="163">
        <f t="shared" si="79"/>
        <v>5.7908968678836548E-2</v>
      </c>
      <c r="H212" s="164">
        <f t="shared" si="79"/>
        <v>-5.0677528929202409E-2</v>
      </c>
      <c r="I212" s="184">
        <f t="shared" si="79"/>
        <v>8.9461256583814652E-2</v>
      </c>
      <c r="J212" s="185">
        <f t="shared" si="79"/>
        <v>-5.8204861104263261E-2</v>
      </c>
      <c r="K212" s="185">
        <f t="shared" si="79"/>
        <v>-9.1664135645519451E-4</v>
      </c>
      <c r="L212" s="185">
        <f t="shared" si="79"/>
        <v>3.1707718301026588E-2</v>
      </c>
      <c r="M212" s="185">
        <f t="shared" si="79"/>
        <v>1.7646952295454543E-2</v>
      </c>
      <c r="N212" s="185">
        <f t="shared" si="79"/>
        <v>1.6357890641077288E-2</v>
      </c>
      <c r="O212" s="185">
        <f t="shared" si="79"/>
        <v>1.6613971960869778E-2</v>
      </c>
      <c r="P212" s="185">
        <f t="shared" si="79"/>
        <v>1.6601971858891673E-2</v>
      </c>
      <c r="Q212" s="185">
        <f t="shared" si="79"/>
        <v>1.6848530984192145E-2</v>
      </c>
      <c r="R212" s="183"/>
    </row>
    <row r="213" spans="2:18" ht="15" outlineLevel="2">
      <c r="B213" s="119"/>
      <c r="C213" s="293"/>
      <c r="D213" s="126" t="s">
        <v>36</v>
      </c>
      <c r="E213" s="243" t="s">
        <v>325</v>
      </c>
      <c r="F213" s="159">
        <f t="shared" ref="F213:Q213" si="80">+IF(F10=0,0,IF(E239&lt;&gt;0,F239/E239-1,0))</f>
        <v>-1.4556532449348514E-2</v>
      </c>
      <c r="G213" s="159">
        <f t="shared" si="80"/>
        <v>5.955729989539571E-2</v>
      </c>
      <c r="H213" s="160">
        <f t="shared" si="80"/>
        <v>-5.0746210555710825E-2</v>
      </c>
      <c r="I213" s="124">
        <f t="shared" si="80"/>
        <v>6.6953763212567852E-2</v>
      </c>
      <c r="J213" s="125">
        <f t="shared" si="80"/>
        <v>-4.6553064692822277E-2</v>
      </c>
      <c r="K213" s="125">
        <f t="shared" si="80"/>
        <v>9.1307540101306373E-3</v>
      </c>
      <c r="L213" s="125">
        <f t="shared" si="80"/>
        <v>3.1707718301026588E-2</v>
      </c>
      <c r="M213" s="125">
        <f t="shared" si="80"/>
        <v>1.7646952295454543E-2</v>
      </c>
      <c r="N213" s="125">
        <f t="shared" si="80"/>
        <v>1.6357890641077288E-2</v>
      </c>
      <c r="O213" s="125">
        <f t="shared" si="80"/>
        <v>1.6613971960869778E-2</v>
      </c>
      <c r="P213" s="125">
        <f t="shared" si="80"/>
        <v>1.6601971858891673E-2</v>
      </c>
      <c r="Q213" s="125">
        <f t="shared" si="80"/>
        <v>1.6848530984192145E-2</v>
      </c>
      <c r="R213" s="108"/>
    </row>
    <row r="214" spans="2:18" ht="15" outlineLevel="2">
      <c r="B214" s="119"/>
      <c r="C214" s="293"/>
      <c r="D214" s="126" t="s">
        <v>35</v>
      </c>
      <c r="E214" s="243" t="s">
        <v>325</v>
      </c>
      <c r="F214" s="159">
        <f t="shared" ref="F214:Q214" si="81">+IF(F10=0,0,IF(E240&lt;&gt;0,F240/E240-1,0))</f>
        <v>3.246252189247345E-2</v>
      </c>
      <c r="G214" s="159">
        <f t="shared" si="81"/>
        <v>6.4999487264045586E-2</v>
      </c>
      <c r="H214" s="160">
        <f t="shared" si="81"/>
        <v>-4.3154625269242186E-2</v>
      </c>
      <c r="I214" s="124">
        <f t="shared" si="81"/>
        <v>5.2736627434728289E-2</v>
      </c>
      <c r="J214" s="125">
        <f t="shared" si="81"/>
        <v>1.133447338037219E-2</v>
      </c>
      <c r="K214" s="125">
        <f t="shared" si="81"/>
        <v>2.0000125265480895E-2</v>
      </c>
      <c r="L214" s="125">
        <f t="shared" si="81"/>
        <v>2.0000076024792257E-2</v>
      </c>
      <c r="M214" s="125">
        <f t="shared" si="81"/>
        <v>-1</v>
      </c>
      <c r="N214" s="125">
        <f t="shared" si="81"/>
        <v>0</v>
      </c>
      <c r="O214" s="125">
        <f t="shared" si="81"/>
        <v>0</v>
      </c>
      <c r="P214" s="125">
        <f t="shared" si="81"/>
        <v>0</v>
      </c>
      <c r="Q214" s="125">
        <f t="shared" si="81"/>
        <v>0</v>
      </c>
      <c r="R214" s="108"/>
    </row>
    <row r="215" spans="2:18" ht="36" outlineLevel="2">
      <c r="B215" s="119"/>
      <c r="C215" s="293"/>
      <c r="D215" s="127" t="s">
        <v>313</v>
      </c>
      <c r="E215" s="246" t="s">
        <v>325</v>
      </c>
      <c r="F215" s="165">
        <f t="shared" ref="F215:Q215" si="82">+IF(F10=0,0,IF(E241&lt;&gt;0,F241/E241-1,0))</f>
        <v>-0.17072558733632148</v>
      </c>
      <c r="G215" s="165">
        <f t="shared" si="82"/>
        <v>4.9159255997423434E-2</v>
      </c>
      <c r="H215" s="166">
        <f t="shared" si="82"/>
        <v>-6.2165179285591399E-2</v>
      </c>
      <c r="I215" s="132">
        <f t="shared" si="82"/>
        <v>0.15695823188724023</v>
      </c>
      <c r="J215" s="133">
        <f t="shared" si="82"/>
        <v>-0.16143556036513496</v>
      </c>
      <c r="K215" s="133">
        <f t="shared" si="82"/>
        <v>-2.1771475911393057E-2</v>
      </c>
      <c r="L215" s="133">
        <f t="shared" si="82"/>
        <v>6.0810791718588053E-2</v>
      </c>
      <c r="M215" s="133">
        <f t="shared" si="82"/>
        <v>1.8275616696487078</v>
      </c>
      <c r="N215" s="133">
        <f t="shared" si="82"/>
        <v>1.8202048743173993E-2</v>
      </c>
      <c r="O215" s="133">
        <f t="shared" si="82"/>
        <v>1.8662413579989101E-2</v>
      </c>
      <c r="P215" s="133">
        <f t="shared" si="82"/>
        <v>1.7283031157411477E-2</v>
      </c>
      <c r="Q215" s="133">
        <f t="shared" si="82"/>
        <v>1.7890382046330089E-2</v>
      </c>
      <c r="R215" s="108"/>
    </row>
    <row r="216" spans="2:18" ht="24" outlineLevel="1">
      <c r="B216" s="119"/>
      <c r="C216" s="293"/>
      <c r="D216" s="199" t="s">
        <v>334</v>
      </c>
      <c r="E216" s="134"/>
      <c r="F216" s="134"/>
      <c r="G216" s="265" t="s">
        <v>345</v>
      </c>
      <c r="H216" s="265" t="s">
        <v>344</v>
      </c>
      <c r="I216" s="135"/>
      <c r="J216" s="135"/>
      <c r="K216" s="135"/>
      <c r="L216" s="135"/>
      <c r="M216" s="135"/>
      <c r="N216" s="135"/>
      <c r="O216" s="135"/>
      <c r="P216" s="135"/>
      <c r="Q216" s="135"/>
      <c r="R216" s="108"/>
    </row>
    <row r="217" spans="2:18" outlineLevel="2">
      <c r="B217" s="180"/>
      <c r="C217" s="292"/>
      <c r="D217" s="120" t="s">
        <v>24</v>
      </c>
      <c r="E217" s="247" t="s">
        <v>325</v>
      </c>
      <c r="F217" s="167">
        <f t="shared" ref="F217:F222" si="83">+IF(F$230=0,"",F230-E230)</f>
        <v>463832.96000000089</v>
      </c>
      <c r="G217" s="167">
        <f t="shared" ref="G217:G222" si="84">+IF(G$230=0,"",G230-F230)</f>
        <v>-895083.08000000007</v>
      </c>
      <c r="H217" s="168">
        <f t="shared" ref="H217:H222" si="85">+IF(H$230=0,"",H230-G230)</f>
        <v>-454427.5</v>
      </c>
      <c r="I217" s="186">
        <f t="shared" ref="I217:Q217" si="86">+IF(I$230=0,"",I230-H230)</f>
        <v>1041862.3499999996</v>
      </c>
      <c r="J217" s="187">
        <f t="shared" si="86"/>
        <v>-1936105.8399999999</v>
      </c>
      <c r="K217" s="187">
        <f t="shared" si="86"/>
        <v>92722</v>
      </c>
      <c r="L217" s="187">
        <f t="shared" si="86"/>
        <v>64553</v>
      </c>
      <c r="M217" s="187">
        <f t="shared" si="86"/>
        <v>141590</v>
      </c>
      <c r="N217" s="187">
        <f t="shared" si="86"/>
        <v>148838</v>
      </c>
      <c r="O217" s="187">
        <f t="shared" si="86"/>
        <v>156303</v>
      </c>
      <c r="P217" s="187">
        <f t="shared" si="86"/>
        <v>163992</v>
      </c>
      <c r="Q217" s="187">
        <f t="shared" si="86"/>
        <v>171912</v>
      </c>
      <c r="R217" s="183"/>
    </row>
    <row r="218" spans="2:18" ht="15" outlineLevel="2">
      <c r="B218" s="119"/>
      <c r="C218" s="293"/>
      <c r="D218" s="123" t="s">
        <v>315</v>
      </c>
      <c r="E218" s="248" t="s">
        <v>325</v>
      </c>
      <c r="F218" s="172">
        <f t="shared" si="83"/>
        <v>-276281.05999999866</v>
      </c>
      <c r="G218" s="172">
        <f t="shared" si="84"/>
        <v>265690.49000000022</v>
      </c>
      <c r="H218" s="173">
        <f t="shared" si="85"/>
        <v>45572.5</v>
      </c>
      <c r="I218" s="139">
        <f t="shared" ref="I218:Q218" si="87">+IF(I$230=0,"",I231-H231)</f>
        <v>-10617.349999999627</v>
      </c>
      <c r="J218" s="140">
        <f t="shared" si="87"/>
        <v>-673580.34000000078</v>
      </c>
      <c r="K218" s="140">
        <f t="shared" si="87"/>
        <v>163661.20000000019</v>
      </c>
      <c r="L218" s="140">
        <f t="shared" si="87"/>
        <v>64553</v>
      </c>
      <c r="M218" s="140">
        <f t="shared" si="87"/>
        <v>141590</v>
      </c>
      <c r="N218" s="140">
        <f t="shared" si="87"/>
        <v>148838</v>
      </c>
      <c r="O218" s="140">
        <f t="shared" si="87"/>
        <v>156303</v>
      </c>
      <c r="P218" s="140">
        <f t="shared" si="87"/>
        <v>163992</v>
      </c>
      <c r="Q218" s="140">
        <f t="shared" si="87"/>
        <v>171912</v>
      </c>
      <c r="R218" s="108"/>
    </row>
    <row r="219" spans="2:18" ht="15" outlineLevel="2">
      <c r="B219" s="119"/>
      <c r="C219" s="293"/>
      <c r="D219" s="126" t="s">
        <v>316</v>
      </c>
      <c r="E219" s="249" t="s">
        <v>325</v>
      </c>
      <c r="F219" s="174">
        <f t="shared" si="83"/>
        <v>573808.25999999978</v>
      </c>
      <c r="G219" s="174">
        <f t="shared" si="84"/>
        <v>-587586.07999999914</v>
      </c>
      <c r="H219" s="175">
        <f t="shared" si="85"/>
        <v>113889.61999999918</v>
      </c>
      <c r="I219" s="139">
        <f t="shared" ref="I219:Q219" si="88">+IF(I$230=0,"",I232-H232)</f>
        <v>85015.080000000075</v>
      </c>
      <c r="J219" s="140">
        <f t="shared" si="88"/>
        <v>176649.66000000015</v>
      </c>
      <c r="K219" s="140">
        <f t="shared" si="88"/>
        <v>163661.20000000019</v>
      </c>
      <c r="L219" s="140">
        <f t="shared" si="88"/>
        <v>64553</v>
      </c>
      <c r="M219" s="140">
        <f t="shared" si="88"/>
        <v>141590</v>
      </c>
      <c r="N219" s="140">
        <f t="shared" si="88"/>
        <v>148838</v>
      </c>
      <c r="O219" s="140">
        <f t="shared" si="88"/>
        <v>156303</v>
      </c>
      <c r="P219" s="140">
        <f t="shared" si="88"/>
        <v>163992</v>
      </c>
      <c r="Q219" s="140">
        <f t="shared" si="88"/>
        <v>171912</v>
      </c>
      <c r="R219" s="108"/>
    </row>
    <row r="220" spans="2:18" ht="15" outlineLevel="2">
      <c r="B220" s="119"/>
      <c r="C220" s="293"/>
      <c r="D220" s="126" t="s">
        <v>317</v>
      </c>
      <c r="E220" s="249" t="s">
        <v>325</v>
      </c>
      <c r="F220" s="174">
        <f t="shared" si="83"/>
        <v>-850089.32000000007</v>
      </c>
      <c r="G220" s="174">
        <f t="shared" si="84"/>
        <v>853276.57000000007</v>
      </c>
      <c r="H220" s="175">
        <f t="shared" si="85"/>
        <v>-68317.120000000112</v>
      </c>
      <c r="I220" s="139">
        <f t="shared" ref="I220:Q220" si="89">+IF(I$230=0,"",I233-H233)</f>
        <v>-95632.429999999935</v>
      </c>
      <c r="J220" s="140">
        <f t="shared" si="89"/>
        <v>-850230</v>
      </c>
      <c r="K220" s="140">
        <f t="shared" si="89"/>
        <v>0</v>
      </c>
      <c r="L220" s="140">
        <f t="shared" si="89"/>
        <v>0</v>
      </c>
      <c r="M220" s="140">
        <f t="shared" si="89"/>
        <v>0</v>
      </c>
      <c r="N220" s="140">
        <f t="shared" si="89"/>
        <v>0</v>
      </c>
      <c r="O220" s="140">
        <f t="shared" si="89"/>
        <v>0</v>
      </c>
      <c r="P220" s="140">
        <f t="shared" si="89"/>
        <v>0</v>
      </c>
      <c r="Q220" s="140">
        <f t="shared" si="89"/>
        <v>0</v>
      </c>
      <c r="R220" s="108"/>
    </row>
    <row r="221" spans="2:18" ht="24" outlineLevel="2">
      <c r="B221" s="119"/>
      <c r="C221" s="293"/>
      <c r="D221" s="126" t="s">
        <v>318</v>
      </c>
      <c r="E221" s="249" t="s">
        <v>325</v>
      </c>
      <c r="F221" s="174">
        <f t="shared" si="83"/>
        <v>-707575.20000000007</v>
      </c>
      <c r="G221" s="174">
        <f t="shared" si="84"/>
        <v>374397.45000000007</v>
      </c>
      <c r="H221" s="175">
        <f t="shared" si="85"/>
        <v>4641.8799999998882</v>
      </c>
      <c r="I221" s="139">
        <f t="shared" ref="I221:Q221" si="90">+IF(I$230=0,"",I234-H234)</f>
        <v>135608.57000000007</v>
      </c>
      <c r="J221" s="140">
        <f t="shared" si="90"/>
        <v>-660230</v>
      </c>
      <c r="K221" s="140">
        <f t="shared" si="90"/>
        <v>0</v>
      </c>
      <c r="L221" s="140">
        <f t="shared" si="90"/>
        <v>0</v>
      </c>
      <c r="M221" s="140">
        <f t="shared" si="90"/>
        <v>0</v>
      </c>
      <c r="N221" s="140">
        <f t="shared" si="90"/>
        <v>0</v>
      </c>
      <c r="O221" s="140">
        <f t="shared" si="90"/>
        <v>0</v>
      </c>
      <c r="P221" s="140">
        <f t="shared" si="90"/>
        <v>0</v>
      </c>
      <c r="Q221" s="140">
        <f t="shared" si="90"/>
        <v>0</v>
      </c>
      <c r="R221" s="108"/>
    </row>
    <row r="222" spans="2:18" ht="15" outlineLevel="2">
      <c r="B222" s="119"/>
      <c r="C222" s="293"/>
      <c r="D222" s="127" t="s">
        <v>33</v>
      </c>
      <c r="E222" s="250" t="s">
        <v>325</v>
      </c>
      <c r="F222" s="176">
        <f t="shared" si="83"/>
        <v>-142514.12</v>
      </c>
      <c r="G222" s="176">
        <f t="shared" si="84"/>
        <v>478879.12</v>
      </c>
      <c r="H222" s="177">
        <f t="shared" si="85"/>
        <v>-72959</v>
      </c>
      <c r="I222" s="141">
        <f t="shared" ref="I222:Q222" si="91">+IF(I$230=0,"",I235-H235)</f>
        <v>-231241</v>
      </c>
      <c r="J222" s="142">
        <f t="shared" si="91"/>
        <v>-190000</v>
      </c>
      <c r="K222" s="142">
        <f t="shared" si="91"/>
        <v>0</v>
      </c>
      <c r="L222" s="142">
        <f t="shared" si="91"/>
        <v>0</v>
      </c>
      <c r="M222" s="142">
        <f t="shared" si="91"/>
        <v>0</v>
      </c>
      <c r="N222" s="142">
        <f t="shared" si="91"/>
        <v>0</v>
      </c>
      <c r="O222" s="142">
        <f t="shared" si="91"/>
        <v>0</v>
      </c>
      <c r="P222" s="142">
        <f t="shared" si="91"/>
        <v>0</v>
      </c>
      <c r="Q222" s="142">
        <f t="shared" si="91"/>
        <v>0</v>
      </c>
      <c r="R222" s="108"/>
    </row>
    <row r="223" spans="2:18" outlineLevel="2">
      <c r="B223" s="180"/>
      <c r="C223" s="292"/>
      <c r="D223" s="120" t="s">
        <v>19</v>
      </c>
      <c r="E223" s="247" t="s">
        <v>325</v>
      </c>
      <c r="F223" s="167">
        <f t="shared" ref="F223:F228" si="92">+IF(F$236=0,"",F236-E236)</f>
        <v>-1729071.9499999993</v>
      </c>
      <c r="G223" s="167">
        <f t="shared" ref="G223:G228" si="93">+IF(G$236=0,"",G236-F236)</f>
        <v>1537498.3499999996</v>
      </c>
      <c r="H223" s="168">
        <f t="shared" ref="H223:H228" si="94">+IF(H$236=0,"",H236-G236)</f>
        <v>-878621.79000000097</v>
      </c>
      <c r="I223" s="186">
        <f t="shared" ref="I223:I228" si="95">+IF(I$236=0,"",I236-H236)</f>
        <v>780162.6400000006</v>
      </c>
      <c r="J223" s="187">
        <f t="shared" ref="J223:Q228" si="96">+IF(J$236=0,"",J236-I236)</f>
        <v>-3131010.84</v>
      </c>
      <c r="K223" s="187">
        <f t="shared" si="96"/>
        <v>111957</v>
      </c>
      <c r="L223" s="187">
        <f t="shared" si="96"/>
        <v>133010</v>
      </c>
      <c r="M223" s="187">
        <f t="shared" si="96"/>
        <v>241590</v>
      </c>
      <c r="N223" s="187">
        <f t="shared" si="96"/>
        <v>198838</v>
      </c>
      <c r="O223" s="187">
        <f t="shared" si="96"/>
        <v>206303</v>
      </c>
      <c r="P223" s="187">
        <f t="shared" si="96"/>
        <v>313992</v>
      </c>
      <c r="Q223" s="187">
        <f t="shared" si="96"/>
        <v>233578.84999999963</v>
      </c>
      <c r="R223" s="183"/>
    </row>
    <row r="224" spans="2:18" ht="15" outlineLevel="2">
      <c r="B224" s="119"/>
      <c r="C224" s="293"/>
      <c r="D224" s="130" t="s">
        <v>314</v>
      </c>
      <c r="E224" s="249" t="s">
        <v>325</v>
      </c>
      <c r="F224" s="174">
        <f t="shared" si="92"/>
        <v>-1022894.6999999993</v>
      </c>
      <c r="G224" s="174">
        <f t="shared" si="93"/>
        <v>1422513.5899999999</v>
      </c>
      <c r="H224" s="175">
        <f t="shared" si="94"/>
        <v>-908979.1500000013</v>
      </c>
      <c r="I224" s="139">
        <f t="shared" si="95"/>
        <v>1136671.1300000018</v>
      </c>
      <c r="J224" s="140">
        <f t="shared" ref="J224:Q224" si="97">+IF(J$236=0,"",J237-I237)</f>
        <v>-2184132.1700000009</v>
      </c>
      <c r="K224" s="140">
        <f t="shared" si="97"/>
        <v>182896.20000000019</v>
      </c>
      <c r="L224" s="140">
        <f t="shared" si="97"/>
        <v>133010</v>
      </c>
      <c r="M224" s="140">
        <f t="shared" si="97"/>
        <v>241590</v>
      </c>
      <c r="N224" s="140">
        <f t="shared" si="97"/>
        <v>198838</v>
      </c>
      <c r="O224" s="140">
        <f t="shared" si="97"/>
        <v>206303</v>
      </c>
      <c r="P224" s="140">
        <f t="shared" si="97"/>
        <v>313992</v>
      </c>
      <c r="Q224" s="140">
        <f t="shared" si="97"/>
        <v>233578.84999999963</v>
      </c>
      <c r="R224" s="108"/>
    </row>
    <row r="225" spans="2:18" outlineLevel="2">
      <c r="B225" s="180"/>
      <c r="C225" s="292"/>
      <c r="D225" s="131" t="s">
        <v>34</v>
      </c>
      <c r="E225" s="251" t="s">
        <v>325</v>
      </c>
      <c r="F225" s="178">
        <f t="shared" si="92"/>
        <v>-297734.87000000011</v>
      </c>
      <c r="G225" s="178">
        <f t="shared" si="93"/>
        <v>400401.5700000003</v>
      </c>
      <c r="H225" s="179">
        <f t="shared" si="94"/>
        <v>-370692.3900000006</v>
      </c>
      <c r="I225" s="188">
        <f t="shared" si="95"/>
        <v>621222.24000000022</v>
      </c>
      <c r="J225" s="189">
        <f t="shared" si="96"/>
        <v>-440334.83999999985</v>
      </c>
      <c r="K225" s="189">
        <f t="shared" si="96"/>
        <v>-6531</v>
      </c>
      <c r="L225" s="189">
        <f t="shared" si="96"/>
        <v>225708</v>
      </c>
      <c r="M225" s="189">
        <f t="shared" si="96"/>
        <v>129601</v>
      </c>
      <c r="N225" s="189">
        <f t="shared" si="96"/>
        <v>122254</v>
      </c>
      <c r="O225" s="189">
        <f t="shared" si="96"/>
        <v>126199</v>
      </c>
      <c r="P225" s="189">
        <f t="shared" si="96"/>
        <v>128203</v>
      </c>
      <c r="Q225" s="189">
        <f t="shared" si="96"/>
        <v>132267</v>
      </c>
      <c r="R225" s="183"/>
    </row>
    <row r="226" spans="2:18" ht="15" outlineLevel="2">
      <c r="B226" s="119"/>
      <c r="C226" s="293"/>
      <c r="D226" s="126" t="s">
        <v>36</v>
      </c>
      <c r="E226" s="249" t="s">
        <v>325</v>
      </c>
      <c r="F226" s="174">
        <f t="shared" si="92"/>
        <v>-101838.45999999996</v>
      </c>
      <c r="G226" s="174">
        <f t="shared" si="93"/>
        <v>410601.5700000003</v>
      </c>
      <c r="H226" s="175">
        <f t="shared" si="94"/>
        <v>-370692.3900000006</v>
      </c>
      <c r="I226" s="139">
        <f t="shared" si="95"/>
        <v>464266.54000000004</v>
      </c>
      <c r="J226" s="140">
        <f t="shared" si="96"/>
        <v>-344418.33999999985</v>
      </c>
      <c r="K226" s="140">
        <f t="shared" si="96"/>
        <v>64408.200000000186</v>
      </c>
      <c r="L226" s="140">
        <f t="shared" si="96"/>
        <v>225708</v>
      </c>
      <c r="M226" s="140">
        <f t="shared" si="96"/>
        <v>129601</v>
      </c>
      <c r="N226" s="140">
        <f t="shared" si="96"/>
        <v>122254</v>
      </c>
      <c r="O226" s="140">
        <f t="shared" si="96"/>
        <v>126199</v>
      </c>
      <c r="P226" s="140">
        <f t="shared" si="96"/>
        <v>128203</v>
      </c>
      <c r="Q226" s="140">
        <f t="shared" si="96"/>
        <v>132267</v>
      </c>
      <c r="R226" s="108"/>
    </row>
    <row r="227" spans="2:18" ht="15" outlineLevel="2">
      <c r="B227" s="119"/>
      <c r="C227" s="293"/>
      <c r="D227" s="126" t="s">
        <v>35</v>
      </c>
      <c r="E227" s="249" t="s">
        <v>325</v>
      </c>
      <c r="F227" s="174">
        <f t="shared" si="92"/>
        <v>97167.299999999814</v>
      </c>
      <c r="G227" s="174">
        <f t="shared" si="93"/>
        <v>200873.25</v>
      </c>
      <c r="H227" s="175">
        <f t="shared" si="94"/>
        <v>-142032.88999999966</v>
      </c>
      <c r="I227" s="139">
        <f t="shared" si="95"/>
        <v>166079.36999999965</v>
      </c>
      <c r="J227" s="140">
        <f t="shared" si="96"/>
        <v>37577.200000000186</v>
      </c>
      <c r="K227" s="140">
        <f t="shared" si="96"/>
        <v>67058</v>
      </c>
      <c r="L227" s="140">
        <f t="shared" si="96"/>
        <v>68399</v>
      </c>
      <c r="M227" s="140">
        <f t="shared" si="96"/>
        <v>-3488336</v>
      </c>
      <c r="N227" s="140">
        <f t="shared" si="96"/>
        <v>0</v>
      </c>
      <c r="O227" s="140">
        <f t="shared" si="96"/>
        <v>0</v>
      </c>
      <c r="P227" s="140">
        <f t="shared" si="96"/>
        <v>0</v>
      </c>
      <c r="Q227" s="140">
        <f t="shared" si="96"/>
        <v>0</v>
      </c>
      <c r="R227" s="108"/>
    </row>
    <row r="228" spans="2:18" ht="36" outlineLevel="2">
      <c r="B228" s="119"/>
      <c r="C228" s="293"/>
      <c r="D228" s="127" t="s">
        <v>313</v>
      </c>
      <c r="E228" s="250" t="s">
        <v>325</v>
      </c>
      <c r="F228" s="176">
        <f t="shared" si="92"/>
        <v>-546157.57999999961</v>
      </c>
      <c r="G228" s="176">
        <f t="shared" si="93"/>
        <v>130413.60999999987</v>
      </c>
      <c r="H228" s="177">
        <f t="shared" si="94"/>
        <v>-173023.95000000158</v>
      </c>
      <c r="I228" s="141">
        <f t="shared" si="95"/>
        <v>409703.32000000123</v>
      </c>
      <c r="J228" s="142">
        <f t="shared" si="96"/>
        <v>-487531.04000000004</v>
      </c>
      <c r="K228" s="142">
        <f t="shared" si="96"/>
        <v>-55135</v>
      </c>
      <c r="L228" s="142">
        <f t="shared" si="96"/>
        <v>150647</v>
      </c>
      <c r="M228" s="142">
        <f t="shared" si="96"/>
        <v>4802748</v>
      </c>
      <c r="N228" s="142">
        <f t="shared" si="96"/>
        <v>135254</v>
      </c>
      <c r="O228" s="142">
        <f t="shared" si="96"/>
        <v>141199</v>
      </c>
      <c r="P228" s="142">
        <f t="shared" si="96"/>
        <v>133203</v>
      </c>
      <c r="Q228" s="142">
        <f t="shared" si="96"/>
        <v>140267</v>
      </c>
      <c r="R228" s="108"/>
    </row>
    <row r="229" spans="2:18" ht="15" outlineLevel="1">
      <c r="B229" s="119"/>
      <c r="C229" s="293"/>
      <c r="D229" s="199" t="s">
        <v>335</v>
      </c>
      <c r="E229" s="134"/>
      <c r="F229" s="134"/>
      <c r="G229" s="134"/>
      <c r="H229" s="134"/>
      <c r="I229" s="135"/>
      <c r="J229" s="135"/>
      <c r="K229" s="135"/>
      <c r="L229" s="135"/>
      <c r="M229" s="135"/>
      <c r="N229" s="135"/>
      <c r="O229" s="135"/>
      <c r="P229" s="135"/>
      <c r="Q229" s="135"/>
      <c r="R229" s="108"/>
    </row>
    <row r="230" spans="2:18" outlineLevel="2">
      <c r="B230" s="180"/>
      <c r="C230" s="292"/>
      <c r="D230" s="120" t="s">
        <v>24</v>
      </c>
      <c r="E230" s="136">
        <f t="shared" ref="E230:Q230" si="98">+E10</f>
        <v>9675664.1099999994</v>
      </c>
      <c r="F230" s="137">
        <f t="shared" si="98"/>
        <v>10139497.07</v>
      </c>
      <c r="G230" s="137">
        <f t="shared" si="98"/>
        <v>9244413.9900000002</v>
      </c>
      <c r="H230" s="138">
        <f t="shared" si="98"/>
        <v>8789986.4900000002</v>
      </c>
      <c r="I230" s="186">
        <f t="shared" si="98"/>
        <v>9831848.8399999999</v>
      </c>
      <c r="J230" s="187">
        <f t="shared" si="98"/>
        <v>7895743</v>
      </c>
      <c r="K230" s="187">
        <f t="shared" si="98"/>
        <v>7988465</v>
      </c>
      <c r="L230" s="187">
        <f t="shared" si="98"/>
        <v>8053018</v>
      </c>
      <c r="M230" s="187">
        <f t="shared" si="98"/>
        <v>8194608</v>
      </c>
      <c r="N230" s="187">
        <f t="shared" si="98"/>
        <v>8343446</v>
      </c>
      <c r="O230" s="187">
        <f t="shared" si="98"/>
        <v>8499749</v>
      </c>
      <c r="P230" s="187">
        <f t="shared" si="98"/>
        <v>8663741</v>
      </c>
      <c r="Q230" s="187">
        <f t="shared" si="98"/>
        <v>8835653</v>
      </c>
      <c r="R230" s="183"/>
    </row>
    <row r="231" spans="2:18" ht="15" outlineLevel="2">
      <c r="B231" s="119"/>
      <c r="C231" s="293"/>
      <c r="D231" s="123" t="s">
        <v>315</v>
      </c>
      <c r="E231" s="143">
        <f t="shared" ref="E231:Q231" si="99">+(E10-E75-E78)</f>
        <v>8474019.5599999987</v>
      </c>
      <c r="F231" s="144">
        <f t="shared" si="99"/>
        <v>8197738.5</v>
      </c>
      <c r="G231" s="144">
        <f t="shared" si="99"/>
        <v>8463428.9900000002</v>
      </c>
      <c r="H231" s="145">
        <f t="shared" si="99"/>
        <v>8509001.4900000002</v>
      </c>
      <c r="I231" s="139">
        <f t="shared" si="99"/>
        <v>8498384.1400000006</v>
      </c>
      <c r="J231" s="140">
        <f t="shared" si="99"/>
        <v>7824803.7999999998</v>
      </c>
      <c r="K231" s="140">
        <f t="shared" si="99"/>
        <v>7988465</v>
      </c>
      <c r="L231" s="140">
        <f t="shared" si="99"/>
        <v>8053018</v>
      </c>
      <c r="M231" s="140">
        <f t="shared" si="99"/>
        <v>8194608</v>
      </c>
      <c r="N231" s="140">
        <f t="shared" si="99"/>
        <v>8343446</v>
      </c>
      <c r="O231" s="140">
        <f t="shared" si="99"/>
        <v>8499749</v>
      </c>
      <c r="P231" s="140">
        <f t="shared" si="99"/>
        <v>8663741</v>
      </c>
      <c r="Q231" s="140">
        <f t="shared" si="99"/>
        <v>8835653</v>
      </c>
      <c r="R231" s="108"/>
    </row>
    <row r="232" spans="2:18" ht="15" outlineLevel="2">
      <c r="B232" s="119"/>
      <c r="C232" s="293"/>
      <c r="D232" s="126" t="s">
        <v>316</v>
      </c>
      <c r="E232" s="143">
        <f t="shared" ref="E232:Q232" si="100">+E11-E75</f>
        <v>7463027.2599999998</v>
      </c>
      <c r="F232" s="144">
        <f t="shared" si="100"/>
        <v>8036835.5199999996</v>
      </c>
      <c r="G232" s="144">
        <f t="shared" si="100"/>
        <v>7449249.4400000004</v>
      </c>
      <c r="H232" s="145">
        <f t="shared" si="100"/>
        <v>7563139.0599999996</v>
      </c>
      <c r="I232" s="139">
        <f t="shared" si="100"/>
        <v>7648154.1399999997</v>
      </c>
      <c r="J232" s="140">
        <f t="shared" si="100"/>
        <v>7824803.7999999998</v>
      </c>
      <c r="K232" s="140">
        <f t="shared" si="100"/>
        <v>7988465</v>
      </c>
      <c r="L232" s="140">
        <f t="shared" si="100"/>
        <v>8053018</v>
      </c>
      <c r="M232" s="140">
        <f t="shared" si="100"/>
        <v>8194608</v>
      </c>
      <c r="N232" s="140">
        <f t="shared" si="100"/>
        <v>8343446</v>
      </c>
      <c r="O232" s="140">
        <f t="shared" si="100"/>
        <v>8499749</v>
      </c>
      <c r="P232" s="140">
        <f t="shared" si="100"/>
        <v>8663741</v>
      </c>
      <c r="Q232" s="140">
        <f t="shared" si="100"/>
        <v>8835653</v>
      </c>
      <c r="R232" s="108"/>
    </row>
    <row r="233" spans="2:18" ht="15" outlineLevel="2">
      <c r="B233" s="119"/>
      <c r="C233" s="293"/>
      <c r="D233" s="126" t="s">
        <v>317</v>
      </c>
      <c r="E233" s="143">
        <f t="shared" ref="E233:Q233" si="101">+E18-E78</f>
        <v>1010992.3</v>
      </c>
      <c r="F233" s="144">
        <f t="shared" si="101"/>
        <v>160902.97999999998</v>
      </c>
      <c r="G233" s="144">
        <f t="shared" si="101"/>
        <v>1014179.55</v>
      </c>
      <c r="H233" s="145">
        <f t="shared" si="101"/>
        <v>945862.42999999993</v>
      </c>
      <c r="I233" s="139">
        <f t="shared" si="101"/>
        <v>850230</v>
      </c>
      <c r="J233" s="140">
        <f t="shared" si="101"/>
        <v>0</v>
      </c>
      <c r="K233" s="140">
        <f t="shared" si="101"/>
        <v>0</v>
      </c>
      <c r="L233" s="140">
        <f t="shared" si="101"/>
        <v>0</v>
      </c>
      <c r="M233" s="140">
        <f t="shared" si="101"/>
        <v>0</v>
      </c>
      <c r="N233" s="140">
        <f t="shared" si="101"/>
        <v>0</v>
      </c>
      <c r="O233" s="140">
        <f t="shared" si="101"/>
        <v>0</v>
      </c>
      <c r="P233" s="140">
        <f t="shared" si="101"/>
        <v>0</v>
      </c>
      <c r="Q233" s="140">
        <f t="shared" si="101"/>
        <v>0</v>
      </c>
      <c r="R233" s="108"/>
    </row>
    <row r="234" spans="2:18" ht="24" outlineLevel="2">
      <c r="B234" s="119"/>
      <c r="C234" s="293"/>
      <c r="D234" s="126" t="s">
        <v>318</v>
      </c>
      <c r="E234" s="143">
        <f t="shared" ref="E234:Q234" si="102">+E18-E78-E19</f>
        <v>853157.3</v>
      </c>
      <c r="F234" s="144">
        <f t="shared" si="102"/>
        <v>145582.09999999998</v>
      </c>
      <c r="G234" s="144">
        <f t="shared" si="102"/>
        <v>519979.55000000005</v>
      </c>
      <c r="H234" s="145">
        <f t="shared" si="102"/>
        <v>524621.42999999993</v>
      </c>
      <c r="I234" s="139">
        <f t="shared" si="102"/>
        <v>660230</v>
      </c>
      <c r="J234" s="140">
        <f t="shared" si="102"/>
        <v>0</v>
      </c>
      <c r="K234" s="140">
        <f t="shared" si="102"/>
        <v>0</v>
      </c>
      <c r="L234" s="140">
        <f t="shared" si="102"/>
        <v>0</v>
      </c>
      <c r="M234" s="140">
        <f t="shared" si="102"/>
        <v>0</v>
      </c>
      <c r="N234" s="140">
        <f t="shared" si="102"/>
        <v>0</v>
      </c>
      <c r="O234" s="140">
        <f t="shared" si="102"/>
        <v>0</v>
      </c>
      <c r="P234" s="140">
        <f t="shared" si="102"/>
        <v>0</v>
      </c>
      <c r="Q234" s="140">
        <f t="shared" si="102"/>
        <v>0</v>
      </c>
      <c r="R234" s="108"/>
    </row>
    <row r="235" spans="2:18" ht="15" outlineLevel="2">
      <c r="B235" s="119"/>
      <c r="C235" s="293"/>
      <c r="D235" s="127" t="s">
        <v>33</v>
      </c>
      <c r="E235" s="146">
        <f t="shared" ref="E235:Q235" si="103">+E19</f>
        <v>157835</v>
      </c>
      <c r="F235" s="147">
        <f t="shared" si="103"/>
        <v>15320.88</v>
      </c>
      <c r="G235" s="147">
        <f t="shared" si="103"/>
        <v>494200</v>
      </c>
      <c r="H235" s="148">
        <f t="shared" si="103"/>
        <v>421241</v>
      </c>
      <c r="I235" s="141">
        <f t="shared" si="103"/>
        <v>190000</v>
      </c>
      <c r="J235" s="142">
        <f t="shared" si="103"/>
        <v>0</v>
      </c>
      <c r="K235" s="142">
        <f t="shared" si="103"/>
        <v>0</v>
      </c>
      <c r="L235" s="142">
        <f t="shared" si="103"/>
        <v>0</v>
      </c>
      <c r="M235" s="142">
        <f t="shared" si="103"/>
        <v>0</v>
      </c>
      <c r="N235" s="142">
        <f t="shared" si="103"/>
        <v>0</v>
      </c>
      <c r="O235" s="142">
        <f t="shared" si="103"/>
        <v>0</v>
      </c>
      <c r="P235" s="142">
        <f t="shared" si="103"/>
        <v>0</v>
      </c>
      <c r="Q235" s="142">
        <f t="shared" si="103"/>
        <v>0</v>
      </c>
      <c r="R235" s="108"/>
    </row>
    <row r="236" spans="2:18" outlineLevel="2">
      <c r="B236" s="180"/>
      <c r="C236" s="292"/>
      <c r="D236" s="120" t="s">
        <v>19</v>
      </c>
      <c r="E236" s="136">
        <f t="shared" ref="E236:Q236" si="104">+E21</f>
        <v>10779094.59</v>
      </c>
      <c r="F236" s="137">
        <f t="shared" si="104"/>
        <v>9050022.6400000006</v>
      </c>
      <c r="G236" s="137">
        <f t="shared" si="104"/>
        <v>10587520.99</v>
      </c>
      <c r="H236" s="138">
        <f t="shared" si="104"/>
        <v>9708899.1999999993</v>
      </c>
      <c r="I236" s="186">
        <f t="shared" si="104"/>
        <v>10489061.84</v>
      </c>
      <c r="J236" s="187">
        <f t="shared" si="104"/>
        <v>7358051</v>
      </c>
      <c r="K236" s="187">
        <f t="shared" si="104"/>
        <v>7470008</v>
      </c>
      <c r="L236" s="187">
        <f t="shared" si="104"/>
        <v>7603018</v>
      </c>
      <c r="M236" s="187">
        <f t="shared" si="104"/>
        <v>7844608</v>
      </c>
      <c r="N236" s="187">
        <f t="shared" si="104"/>
        <v>8043446</v>
      </c>
      <c r="O236" s="187">
        <f t="shared" si="104"/>
        <v>8249749</v>
      </c>
      <c r="P236" s="187">
        <f t="shared" si="104"/>
        <v>8563741</v>
      </c>
      <c r="Q236" s="187">
        <f t="shared" si="104"/>
        <v>8797319.8499999996</v>
      </c>
      <c r="R236" s="183"/>
    </row>
    <row r="237" spans="2:18" ht="15" outlineLevel="2">
      <c r="B237" s="119"/>
      <c r="C237" s="293"/>
      <c r="D237" s="130" t="s">
        <v>314</v>
      </c>
      <c r="E237" s="143">
        <f t="shared" ref="E237:Q237" si="105">+E21-E81-E84</f>
        <v>8843933.0999999996</v>
      </c>
      <c r="F237" s="144">
        <f t="shared" si="105"/>
        <v>7821038.4000000004</v>
      </c>
      <c r="G237" s="144">
        <f t="shared" si="105"/>
        <v>9243551.9900000002</v>
      </c>
      <c r="H237" s="145">
        <f t="shared" si="105"/>
        <v>8334572.8399999989</v>
      </c>
      <c r="I237" s="139">
        <f t="shared" si="105"/>
        <v>9471243.9700000007</v>
      </c>
      <c r="J237" s="140">
        <f t="shared" si="105"/>
        <v>7287111.7999999998</v>
      </c>
      <c r="K237" s="140">
        <f t="shared" si="105"/>
        <v>7470008</v>
      </c>
      <c r="L237" s="140">
        <f t="shared" si="105"/>
        <v>7603018</v>
      </c>
      <c r="M237" s="140">
        <f t="shared" si="105"/>
        <v>7844608</v>
      </c>
      <c r="N237" s="140">
        <f t="shared" si="105"/>
        <v>8043446</v>
      </c>
      <c r="O237" s="140">
        <f t="shared" si="105"/>
        <v>8249749</v>
      </c>
      <c r="P237" s="140">
        <f t="shared" si="105"/>
        <v>8563741</v>
      </c>
      <c r="Q237" s="140">
        <f t="shared" si="105"/>
        <v>8797319.8499999996</v>
      </c>
      <c r="R237" s="108"/>
    </row>
    <row r="238" spans="2:18" outlineLevel="2">
      <c r="B238" s="180"/>
      <c r="C238" s="292"/>
      <c r="D238" s="131" t="s">
        <v>34</v>
      </c>
      <c r="E238" s="169">
        <f t="shared" ref="E238:Q238" si="106">+E22</f>
        <v>7212062.29</v>
      </c>
      <c r="F238" s="170">
        <f t="shared" si="106"/>
        <v>6914327.4199999999</v>
      </c>
      <c r="G238" s="170">
        <f t="shared" si="106"/>
        <v>7314728.9900000002</v>
      </c>
      <c r="H238" s="171">
        <f t="shared" si="106"/>
        <v>6944036.5999999996</v>
      </c>
      <c r="I238" s="188">
        <f t="shared" si="106"/>
        <v>7565258.8399999999</v>
      </c>
      <c r="J238" s="189">
        <f t="shared" si="106"/>
        <v>7124924</v>
      </c>
      <c r="K238" s="189">
        <f t="shared" si="106"/>
        <v>7118393</v>
      </c>
      <c r="L238" s="189">
        <f t="shared" si="106"/>
        <v>7344101</v>
      </c>
      <c r="M238" s="189">
        <f t="shared" si="106"/>
        <v>7473702</v>
      </c>
      <c r="N238" s="189">
        <f t="shared" si="106"/>
        <v>7595956</v>
      </c>
      <c r="O238" s="189">
        <f t="shared" si="106"/>
        <v>7722155</v>
      </c>
      <c r="P238" s="189">
        <f t="shared" si="106"/>
        <v>7850358</v>
      </c>
      <c r="Q238" s="189">
        <f t="shared" si="106"/>
        <v>7982625</v>
      </c>
      <c r="R238" s="183"/>
    </row>
    <row r="239" spans="2:18" ht="15" outlineLevel="2">
      <c r="B239" s="119"/>
      <c r="C239" s="293"/>
      <c r="D239" s="126" t="s">
        <v>36</v>
      </c>
      <c r="E239" s="143">
        <f t="shared" ref="E239:Q239" si="107">+E22-E81</f>
        <v>6996065.8799999999</v>
      </c>
      <c r="F239" s="144">
        <f t="shared" si="107"/>
        <v>6894227.4199999999</v>
      </c>
      <c r="G239" s="144">
        <f t="shared" si="107"/>
        <v>7304828.9900000002</v>
      </c>
      <c r="H239" s="145">
        <f t="shared" si="107"/>
        <v>6934136.5999999996</v>
      </c>
      <c r="I239" s="139">
        <f t="shared" si="107"/>
        <v>7398403.1399999997</v>
      </c>
      <c r="J239" s="140">
        <f t="shared" si="107"/>
        <v>7053984.7999999998</v>
      </c>
      <c r="K239" s="140">
        <f t="shared" si="107"/>
        <v>7118393</v>
      </c>
      <c r="L239" s="140">
        <f t="shared" si="107"/>
        <v>7344101</v>
      </c>
      <c r="M239" s="140">
        <f t="shared" si="107"/>
        <v>7473702</v>
      </c>
      <c r="N239" s="140">
        <f t="shared" si="107"/>
        <v>7595956</v>
      </c>
      <c r="O239" s="140">
        <f t="shared" si="107"/>
        <v>7722155</v>
      </c>
      <c r="P239" s="140">
        <f t="shared" si="107"/>
        <v>7850358</v>
      </c>
      <c r="Q239" s="140">
        <f t="shared" si="107"/>
        <v>7982625</v>
      </c>
      <c r="R239" s="108"/>
    </row>
    <row r="240" spans="2:18" ht="15" outlineLevel="2">
      <c r="B240" s="119"/>
      <c r="C240" s="293"/>
      <c r="D240" s="126" t="s">
        <v>35</v>
      </c>
      <c r="E240" s="143">
        <f>+E66</f>
        <v>2993214.77</v>
      </c>
      <c r="F240" s="144">
        <f>+F66</f>
        <v>3090382.07</v>
      </c>
      <c r="G240" s="144">
        <f>+G66</f>
        <v>3291255.32</v>
      </c>
      <c r="H240" s="145">
        <f>+H66</f>
        <v>3149222.43</v>
      </c>
      <c r="I240" s="139">
        <f>+I66</f>
        <v>3315301.8</v>
      </c>
      <c r="J240" s="140">
        <f t="shared" ref="J240:Q240" si="108">+J66</f>
        <v>3352879</v>
      </c>
      <c r="K240" s="140">
        <f t="shared" si="108"/>
        <v>3419937</v>
      </c>
      <c r="L240" s="140">
        <f t="shared" si="108"/>
        <v>3488336</v>
      </c>
      <c r="M240" s="140">
        <f t="shared" si="108"/>
        <v>0</v>
      </c>
      <c r="N240" s="140">
        <f t="shared" si="108"/>
        <v>0</v>
      </c>
      <c r="O240" s="140">
        <f t="shared" si="108"/>
        <v>0</v>
      </c>
      <c r="P240" s="140">
        <f t="shared" si="108"/>
        <v>0</v>
      </c>
      <c r="Q240" s="140">
        <f t="shared" si="108"/>
        <v>0</v>
      </c>
      <c r="R240" s="108"/>
    </row>
    <row r="241" spans="2:18" ht="36" outlineLevel="2">
      <c r="B241" s="119"/>
      <c r="C241" s="293"/>
      <c r="D241" s="127" t="s">
        <v>313</v>
      </c>
      <c r="E241" s="146">
        <f t="shared" ref="E241:Q241" si="109">+E22-E23-E26-E66-E67</f>
        <v>3199037.64</v>
      </c>
      <c r="F241" s="147">
        <f t="shared" si="109"/>
        <v>2652880.0600000005</v>
      </c>
      <c r="G241" s="147">
        <f t="shared" si="109"/>
        <v>2783293.6700000004</v>
      </c>
      <c r="H241" s="148">
        <f t="shared" si="109"/>
        <v>2610269.7199999988</v>
      </c>
      <c r="I241" s="141">
        <f t="shared" si="109"/>
        <v>3019973.04</v>
      </c>
      <c r="J241" s="142">
        <f t="shared" si="109"/>
        <v>2532442</v>
      </c>
      <c r="K241" s="142">
        <f t="shared" si="109"/>
        <v>2477307</v>
      </c>
      <c r="L241" s="142">
        <f t="shared" si="109"/>
        <v>2627954</v>
      </c>
      <c r="M241" s="142">
        <f t="shared" si="109"/>
        <v>7430702</v>
      </c>
      <c r="N241" s="142">
        <f t="shared" si="109"/>
        <v>7565956</v>
      </c>
      <c r="O241" s="142">
        <f t="shared" si="109"/>
        <v>7707155</v>
      </c>
      <c r="P241" s="142">
        <f t="shared" si="109"/>
        <v>7840358</v>
      </c>
      <c r="Q241" s="142">
        <f t="shared" si="109"/>
        <v>7980625</v>
      </c>
      <c r="R241" s="108"/>
    </row>
    <row r="242" spans="2:18" outlineLevel="2">
      <c r="D242" s="18"/>
      <c r="E242" s="62"/>
      <c r="F242" s="62"/>
      <c r="G242" s="62"/>
      <c r="H242" s="62"/>
      <c r="I242" s="19"/>
      <c r="J242" s="19"/>
      <c r="K242" s="19"/>
      <c r="L242" s="19"/>
      <c r="M242" s="19"/>
      <c r="N242" s="19"/>
      <c r="O242" s="19"/>
      <c r="P242" s="19"/>
      <c r="Q242" s="19"/>
    </row>
  </sheetData>
  <sheetProtection formatCells="0" formatColumns="0" formatRows="0" insertColumns="0" deleteColumns="0"/>
  <autoFilter ref="A9:A110"/>
  <customSheetViews>
    <customSheetView guid="{9360F695-77C0-4418-82C5-829A762C44E9}" scale="90" showAutoFilter="1" hiddenColumns="1">
      <pane xSplit="4" ySplit="9" topLeftCell="E10" activePane="bottomRight" state="frozen"/>
      <selection pane="bottomRight" activeCell="E10" sqref="E10"/>
      <rowBreaks count="2" manualBreakCount="2">
        <brk id="48" min="1" max="39" man="1"/>
        <brk id="75" min="1" max="39" man="1"/>
      </rowBreaks>
      <pageMargins left="0.51181102362204722" right="0.51181102362204722" top="0.47244094488188981" bottom="0.47244094488188981" header="0.31496062992125984" footer="0.31496062992125984"/>
      <pageSetup paperSize="9" scale="65" orientation="landscape" blackAndWhite="1" horizontalDpi="4294967293" verticalDpi="4294967293" r:id="rId1"/>
      <headerFooter>
        <oddFooter>&amp;L&amp;"Czcionka tekstu podstawowego,Kursywa"&amp;8Wersja szablonu wydruku: 2013-04-08a&amp;C&amp;8Strona &amp;P z &amp;N&amp;R&amp;8Wydruk z dn.: &amp;D - &amp;T</oddFooter>
      </headerFooter>
      <autoFilter ref="B1"/>
    </customSheetView>
  </customSheetViews>
  <mergeCells count="2">
    <mergeCell ref="M8:Q8"/>
    <mergeCell ref="I8:L8"/>
  </mergeCells>
  <conditionalFormatting sqref="I61:Q62">
    <cfRule type="expression" dxfId="21" priority="39" stopIfTrue="1">
      <formula>LEFT(I61,3)="Nie"</formula>
    </cfRule>
  </conditionalFormatting>
  <conditionalFormatting sqref="I204:Q215">
    <cfRule type="cellIs" dxfId="20" priority="16" stopIfTrue="1" operator="notBetween">
      <formula>-$D$203</formula>
      <formula>$D$203</formula>
    </cfRule>
    <cfRule type="cellIs" dxfId="19" priority="100" stopIfTrue="1" operator="notBetween">
      <formula>-$D$202</formula>
      <formula>$D$202</formula>
    </cfRule>
    <cfRule type="cellIs" dxfId="18" priority="101" stopIfTrue="1" operator="notBetween">
      <formula>-$D$201</formula>
      <formula>$D$201</formula>
    </cfRule>
  </conditionalFormatting>
  <conditionalFormatting sqref="I129:Q129">
    <cfRule type="cellIs" dxfId="17" priority="13" stopIfTrue="1" operator="between">
      <formula>0</formula>
      <formula>1000000000000</formula>
    </cfRule>
  </conditionalFormatting>
  <conditionalFormatting sqref="I130:Q132">
    <cfRule type="cellIs" dxfId="16" priority="12" stopIfTrue="1" operator="between">
      <formula>-1000000000000</formula>
      <formula>1000000000000</formula>
    </cfRule>
  </conditionalFormatting>
  <conditionalFormatting sqref="I127:Q128">
    <cfRule type="cellIs" dxfId="15" priority="11" stopIfTrue="1" operator="between">
      <formula>-1000000000000</formula>
      <formula>1000000000000</formula>
    </cfRule>
  </conditionalFormatting>
  <conditionalFormatting sqref="I133:Q182">
    <cfRule type="cellIs" dxfId="14" priority="10" stopIfTrue="1" operator="equal">
      <formula>"BŁĄD"</formula>
    </cfRule>
  </conditionalFormatting>
  <conditionalFormatting sqref="I196:Q199">
    <cfRule type="cellIs" dxfId="13" priority="59" stopIfTrue="1" operator="lessThan">
      <formula>$D$193</formula>
    </cfRule>
    <cfRule type="cellIs" dxfId="12" priority="60" stopIfTrue="1" operator="lessThan">
      <formula>$D$194</formula>
    </cfRule>
    <cfRule type="cellIs" dxfId="11" priority="61" stopIfTrue="1" operator="lessThan">
      <formula>$D$195</formula>
    </cfRule>
  </conditionalFormatting>
  <pageMargins left="0.51181102362204722" right="0.51181102362204722" top="0.47244094488188981" bottom="0.47244094488188981" header="0.31496062992125984" footer="0.31496062992125984"/>
  <pageSetup paperSize="9" scale="65" orientation="landscape" blackAndWhite="1" horizontalDpi="4294967293" verticalDpi="4294967293" r:id="rId2"/>
  <headerFooter>
    <oddFooter>&amp;C&amp;8Strona &amp;P z &amp;N</oddFooter>
  </headerFooter>
  <rowBreaks count="2" manualBreakCount="2">
    <brk id="52" min="1" max="37" man="1"/>
    <brk id="86" min="1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8">
    <tabColor rgb="FFFF0000"/>
    <outlinePr summaryBelow="0"/>
  </sheetPr>
  <dimension ref="A1:HO235"/>
  <sheetViews>
    <sheetView tabSelected="1" view="pageBreakPreview" topLeftCell="B68" zoomScaleNormal="100" zoomScaleSheetLayoutView="100" workbookViewId="0">
      <selection activeCell="H107" sqref="A1:H107"/>
    </sheetView>
  </sheetViews>
  <sheetFormatPr defaultRowHeight="14.25" outlineLevelRow="2" outlineLevelCol="1"/>
  <cols>
    <col min="1" max="1" width="4.375" style="78" hidden="1" customWidth="1" outlineLevel="1"/>
    <col min="2" max="2" width="6.875" style="77" customWidth="1" collapsed="1"/>
    <col min="3" max="3" width="47.875" style="287" hidden="1" customWidth="1" outlineLevel="1"/>
    <col min="4" max="4" width="75.375" style="77" customWidth="1" collapsed="1"/>
    <col min="5" max="7" width="14.375" style="77" customWidth="1"/>
    <col min="8" max="8" width="8.25" style="77" customWidth="1"/>
    <col min="9" max="16384" width="9" style="78"/>
  </cols>
  <sheetData>
    <row r="1" spans="1:223" s="80" customFormat="1" ht="18">
      <c r="A1" s="305"/>
      <c r="B1" s="374" t="s">
        <v>494</v>
      </c>
      <c r="C1" s="374"/>
      <c r="D1" s="374"/>
      <c r="E1" s="374"/>
      <c r="F1" s="374"/>
      <c r="G1" s="374"/>
      <c r="H1" s="374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</row>
    <row r="2" spans="1:223" s="80" customFormat="1" ht="56.25">
      <c r="A2" s="305"/>
      <c r="B2" s="306" t="s">
        <v>0</v>
      </c>
      <c r="C2" s="307" t="s">
        <v>320</v>
      </c>
      <c r="D2" s="308" t="s">
        <v>1</v>
      </c>
      <c r="E2" s="309" t="s">
        <v>490</v>
      </c>
      <c r="F2" s="310" t="s">
        <v>492</v>
      </c>
      <c r="G2" s="311" t="s">
        <v>493</v>
      </c>
      <c r="H2" s="311" t="s">
        <v>491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</row>
    <row r="3" spans="1:223" s="84" customFormat="1" ht="20.25" outlineLevel="1">
      <c r="A3" s="312" t="s">
        <v>28</v>
      </c>
      <c r="B3" s="316">
        <v>1</v>
      </c>
      <c r="C3" s="317" t="s">
        <v>321</v>
      </c>
      <c r="D3" s="318" t="s">
        <v>24</v>
      </c>
      <c r="E3" s="319">
        <f>7880591</f>
        <v>7880591</v>
      </c>
      <c r="F3" s="320">
        <f>+F4+F11</f>
        <v>9831848.8399999999</v>
      </c>
      <c r="G3" s="321">
        <f t="shared" ref="G3" si="0">+G4+G11</f>
        <v>4950204.8099999996</v>
      </c>
      <c r="H3" s="321">
        <f>SUM(G3/F3*100)</f>
        <v>50.348666772220227</v>
      </c>
    </row>
    <row r="4" spans="1:223" ht="20.25" outlineLevel="2">
      <c r="A4" s="312" t="s">
        <v>28</v>
      </c>
      <c r="B4" s="322" t="s">
        <v>136</v>
      </c>
      <c r="C4" s="323"/>
      <c r="D4" s="324" t="s">
        <v>349</v>
      </c>
      <c r="E4" s="325">
        <f>7265153</f>
        <v>7265153</v>
      </c>
      <c r="F4" s="326">
        <v>7815009.8399999999</v>
      </c>
      <c r="G4" s="327">
        <v>4185128.11</v>
      </c>
      <c r="H4" s="321">
        <f t="shared" ref="H4:H23" si="1">SUM(G4/F4*100)</f>
        <v>53.552435578251298</v>
      </c>
    </row>
    <row r="5" spans="1:223" ht="40.5" outlineLevel="2">
      <c r="A5" s="312"/>
      <c r="B5" s="322" t="s">
        <v>41</v>
      </c>
      <c r="C5" s="323"/>
      <c r="D5" s="328" t="s">
        <v>183</v>
      </c>
      <c r="E5" s="325">
        <f>948118</f>
        <v>948118</v>
      </c>
      <c r="F5" s="326">
        <v>948118</v>
      </c>
      <c r="G5" s="327">
        <v>419970</v>
      </c>
      <c r="H5" s="321">
        <f t="shared" si="1"/>
        <v>44.295119383874159</v>
      </c>
    </row>
    <row r="6" spans="1:223" ht="40.5" outlineLevel="2">
      <c r="A6" s="312"/>
      <c r="B6" s="322" t="s">
        <v>43</v>
      </c>
      <c r="C6" s="323"/>
      <c r="D6" s="328" t="s">
        <v>184</v>
      </c>
      <c r="E6" s="325">
        <f>6000</f>
        <v>6000</v>
      </c>
      <c r="F6" s="326">
        <v>6000</v>
      </c>
      <c r="G6" s="327">
        <v>3619.65</v>
      </c>
      <c r="H6" s="321">
        <f t="shared" si="1"/>
        <v>60.327500000000001</v>
      </c>
    </row>
    <row r="7" spans="1:223" ht="20.25" outlineLevel="2">
      <c r="A7" s="312"/>
      <c r="B7" s="322" t="s">
        <v>45</v>
      </c>
      <c r="C7" s="323"/>
      <c r="D7" s="328" t="s">
        <v>461</v>
      </c>
      <c r="E7" s="325">
        <f>2147754</f>
        <v>2147754</v>
      </c>
      <c r="F7" s="326">
        <v>2147754</v>
      </c>
      <c r="G7" s="327">
        <v>1220406.5900000001</v>
      </c>
      <c r="H7" s="321">
        <f t="shared" si="1"/>
        <v>56.822456854928447</v>
      </c>
    </row>
    <row r="8" spans="1:223" ht="20.25" outlineLevel="2">
      <c r="A8" s="312"/>
      <c r="B8" s="322" t="s">
        <v>47</v>
      </c>
      <c r="C8" s="323"/>
      <c r="D8" s="329" t="s">
        <v>185</v>
      </c>
      <c r="E8" s="325">
        <f>1057000</f>
        <v>1057000</v>
      </c>
      <c r="F8" s="326">
        <v>1057000</v>
      </c>
      <c r="G8" s="327">
        <v>620310.80000000005</v>
      </c>
      <c r="H8" s="321">
        <f t="shared" si="1"/>
        <v>58.685979186376549</v>
      </c>
    </row>
    <row r="9" spans="1:223" s="82" customFormat="1" ht="21" outlineLevel="2" thickBot="1">
      <c r="A9" s="312"/>
      <c r="B9" s="322" t="s">
        <v>49</v>
      </c>
      <c r="C9" s="323"/>
      <c r="D9" s="328" t="s">
        <v>186</v>
      </c>
      <c r="E9" s="325">
        <f>2883298</f>
        <v>2883298</v>
      </c>
      <c r="F9" s="326">
        <v>2880936</v>
      </c>
      <c r="G9" s="327">
        <v>1670100</v>
      </c>
      <c r="H9" s="321">
        <f t="shared" si="1"/>
        <v>57.970742841909718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78"/>
      <c r="FC9" s="78"/>
      <c r="FD9" s="78"/>
      <c r="FE9" s="78"/>
      <c r="FF9" s="78"/>
      <c r="FG9" s="78"/>
      <c r="FH9" s="78"/>
      <c r="FI9" s="78"/>
      <c r="FJ9" s="78"/>
      <c r="FK9" s="78"/>
      <c r="FL9" s="78"/>
      <c r="FM9" s="78"/>
      <c r="FN9" s="78"/>
      <c r="FO9" s="78"/>
      <c r="FP9" s="78"/>
      <c r="FQ9" s="78"/>
      <c r="FR9" s="78"/>
      <c r="FS9" s="78"/>
      <c r="FT9" s="78"/>
      <c r="FU9" s="78"/>
      <c r="FV9" s="78"/>
      <c r="FW9" s="78"/>
      <c r="FX9" s="78"/>
      <c r="FY9" s="78"/>
      <c r="FZ9" s="78"/>
      <c r="GA9" s="78"/>
      <c r="GB9" s="78"/>
      <c r="GC9" s="78"/>
      <c r="GD9" s="78"/>
      <c r="GE9" s="78"/>
      <c r="GF9" s="78"/>
      <c r="GG9" s="78"/>
      <c r="GH9" s="78"/>
      <c r="GI9" s="78"/>
      <c r="GJ9" s="78"/>
      <c r="GK9" s="78"/>
      <c r="GL9" s="78"/>
      <c r="GM9" s="78"/>
      <c r="GN9" s="78"/>
      <c r="GO9" s="78"/>
      <c r="GP9" s="78"/>
      <c r="GQ9" s="78"/>
      <c r="GR9" s="78"/>
      <c r="GS9" s="78"/>
      <c r="GT9" s="78"/>
      <c r="GU9" s="78"/>
      <c r="GV9" s="78"/>
      <c r="GW9" s="78"/>
      <c r="GX9" s="78"/>
      <c r="GY9" s="78"/>
      <c r="GZ9" s="78"/>
      <c r="HA9" s="78"/>
      <c r="HB9" s="78"/>
      <c r="HC9" s="78"/>
      <c r="HD9" s="7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</row>
    <row r="10" spans="1:223" s="87" customFormat="1" ht="20.25" outlineLevel="2">
      <c r="A10" s="312"/>
      <c r="B10" s="322" t="s">
        <v>51</v>
      </c>
      <c r="C10" s="323"/>
      <c r="D10" s="328" t="s">
        <v>187</v>
      </c>
      <c r="E10" s="325">
        <f>943778</f>
        <v>943778</v>
      </c>
      <c r="F10" s="326">
        <v>1463349.84</v>
      </c>
      <c r="G10" s="327">
        <v>690881.38</v>
      </c>
      <c r="H10" s="321">
        <f t="shared" si="1"/>
        <v>47.212318005925361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</row>
    <row r="11" spans="1:223" ht="20.25" outlineLevel="2">
      <c r="A11" s="312" t="s">
        <v>28</v>
      </c>
      <c r="B11" s="322" t="s">
        <v>137</v>
      </c>
      <c r="C11" s="323"/>
      <c r="D11" s="324" t="s">
        <v>460</v>
      </c>
      <c r="E11" s="325">
        <f>615438</f>
        <v>615438</v>
      </c>
      <c r="F11" s="326">
        <v>2016839</v>
      </c>
      <c r="G11" s="327">
        <v>765076.7</v>
      </c>
      <c r="H11" s="321">
        <f t="shared" si="1"/>
        <v>37.934445932471554</v>
      </c>
    </row>
    <row r="12" spans="1:223" ht="20.25" outlineLevel="2">
      <c r="A12" s="312" t="s">
        <v>28</v>
      </c>
      <c r="B12" s="322" t="s">
        <v>54</v>
      </c>
      <c r="C12" s="323"/>
      <c r="D12" s="328" t="s">
        <v>27</v>
      </c>
      <c r="E12" s="325">
        <f>340000</f>
        <v>340000</v>
      </c>
      <c r="F12" s="326">
        <v>190000</v>
      </c>
      <c r="G12" s="327">
        <v>33755</v>
      </c>
      <c r="H12" s="321">
        <f t="shared" si="1"/>
        <v>17.765789473684208</v>
      </c>
    </row>
    <row r="13" spans="1:223" ht="20.25" outlineLevel="2">
      <c r="A13" s="312"/>
      <c r="B13" s="322" t="s">
        <v>56</v>
      </c>
      <c r="C13" s="323"/>
      <c r="D13" s="328" t="s">
        <v>188</v>
      </c>
      <c r="E13" s="325">
        <f>275438</f>
        <v>275438</v>
      </c>
      <c r="F13" s="326">
        <v>1829839</v>
      </c>
      <c r="G13" s="327">
        <v>694780</v>
      </c>
      <c r="H13" s="321">
        <f t="shared" si="1"/>
        <v>37.969460701187373</v>
      </c>
    </row>
    <row r="14" spans="1:223" s="84" customFormat="1" ht="20.25" outlineLevel="1">
      <c r="A14" s="312" t="s">
        <v>28</v>
      </c>
      <c r="B14" s="316">
        <v>2</v>
      </c>
      <c r="C14" s="317" t="s">
        <v>322</v>
      </c>
      <c r="D14" s="318" t="s">
        <v>19</v>
      </c>
      <c r="E14" s="319">
        <f>8982264</f>
        <v>8982264</v>
      </c>
      <c r="F14" s="320">
        <f>+F15+F23</f>
        <v>10489061.84</v>
      </c>
      <c r="G14" s="321">
        <f t="shared" ref="G14" si="2">+G15+G23</f>
        <v>4420330.88</v>
      </c>
      <c r="H14" s="321">
        <f t="shared" si="1"/>
        <v>42.142290201236911</v>
      </c>
    </row>
    <row r="15" spans="1:223" ht="20.25" outlineLevel="2">
      <c r="A15" s="312" t="s">
        <v>28</v>
      </c>
      <c r="B15" s="322" t="s">
        <v>138</v>
      </c>
      <c r="C15" s="323"/>
      <c r="D15" s="324" t="s">
        <v>189</v>
      </c>
      <c r="E15" s="325">
        <f>7087584</f>
        <v>7087584</v>
      </c>
      <c r="F15" s="326">
        <v>7565258.8399999999</v>
      </c>
      <c r="G15" s="327">
        <v>3732781.95</v>
      </c>
      <c r="H15" s="321">
        <f t="shared" si="1"/>
        <v>49.341100270932699</v>
      </c>
    </row>
    <row r="16" spans="1:223" ht="20.25" outlineLevel="2">
      <c r="A16" s="312" t="s">
        <v>28</v>
      </c>
      <c r="B16" s="322" t="s">
        <v>59</v>
      </c>
      <c r="C16" s="323"/>
      <c r="D16" s="328" t="s">
        <v>459</v>
      </c>
      <c r="E16" s="325">
        <f>0</f>
        <v>0</v>
      </c>
      <c r="F16" s="326">
        <f>+Zał.1_WPF_bazowy!J23</f>
        <v>0</v>
      </c>
      <c r="G16" s="327">
        <f>+Zał.1_WPF_bazowy!K23</f>
        <v>0</v>
      </c>
      <c r="H16" s="321">
        <v>0</v>
      </c>
    </row>
    <row r="17" spans="1:223" ht="40.5" outlineLevel="2">
      <c r="A17" s="312" t="s">
        <v>28</v>
      </c>
      <c r="B17" s="322" t="s">
        <v>61</v>
      </c>
      <c r="C17" s="323"/>
      <c r="D17" s="329" t="s">
        <v>458</v>
      </c>
      <c r="E17" s="325">
        <f>0</f>
        <v>0</v>
      </c>
      <c r="F17" s="326">
        <f>+Zał.1_WPF_bazowy!J24</f>
        <v>0</v>
      </c>
      <c r="G17" s="327">
        <f>+Zał.1_WPF_bazowy!K24</f>
        <v>0</v>
      </c>
      <c r="H17" s="321">
        <v>0</v>
      </c>
    </row>
    <row r="18" spans="1:223" ht="75" outlineLevel="2">
      <c r="A18" s="312"/>
      <c r="B18" s="322" t="s">
        <v>62</v>
      </c>
      <c r="C18" s="323"/>
      <c r="D18" s="314" t="s">
        <v>482</v>
      </c>
      <c r="E18" s="325">
        <f>0</f>
        <v>0</v>
      </c>
      <c r="F18" s="326">
        <f>+Zał.1_WPF_bazowy!J25</f>
        <v>0</v>
      </c>
      <c r="G18" s="327">
        <f>+Zał.1_WPF_bazowy!K25</f>
        <v>0</v>
      </c>
      <c r="H18" s="321">
        <v>0</v>
      </c>
    </row>
    <row r="19" spans="1:223" ht="20.25" outlineLevel="2">
      <c r="A19" s="312" t="s">
        <v>28</v>
      </c>
      <c r="B19" s="322" t="s">
        <v>63</v>
      </c>
      <c r="C19" s="323"/>
      <c r="D19" s="328" t="s">
        <v>190</v>
      </c>
      <c r="E19" s="325">
        <f>75000</f>
        <v>75000</v>
      </c>
      <c r="F19" s="326">
        <f>+Zał.1_WPF_bazowy!J26</f>
        <v>75000</v>
      </c>
      <c r="G19" s="327">
        <v>34977.760000000002</v>
      </c>
      <c r="H19" s="321">
        <f t="shared" si="1"/>
        <v>46.637013333333336</v>
      </c>
    </row>
    <row r="20" spans="1:223" s="88" customFormat="1" ht="20.25" outlineLevel="2">
      <c r="A20" s="312" t="s">
        <v>28</v>
      </c>
      <c r="B20" s="322" t="s">
        <v>64</v>
      </c>
      <c r="C20" s="323"/>
      <c r="D20" s="329" t="s">
        <v>481</v>
      </c>
      <c r="E20" s="325">
        <f>75000</f>
        <v>75000</v>
      </c>
      <c r="F20" s="326">
        <f>+Zał.1_WPF_bazowy!J27</f>
        <v>75000</v>
      </c>
      <c r="G20" s="327">
        <v>34977.760000000002</v>
      </c>
      <c r="H20" s="321">
        <f t="shared" si="1"/>
        <v>46.637013333333336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</row>
    <row r="21" spans="1:223" s="88" customFormat="1" ht="72.75" customHeight="1" outlineLevel="2">
      <c r="A21" s="312" t="s">
        <v>28</v>
      </c>
      <c r="B21" s="322" t="s">
        <v>362</v>
      </c>
      <c r="C21" s="323"/>
      <c r="D21" s="375" t="s">
        <v>436</v>
      </c>
      <c r="E21" s="325">
        <v>0</v>
      </c>
      <c r="F21" s="326">
        <f>+Zał.1_WPF_bazowy!J28</f>
        <v>0</v>
      </c>
      <c r="G21" s="327">
        <f>+Zał.1_WPF_bazowy!K28</f>
        <v>0</v>
      </c>
      <c r="H21" s="321">
        <v>0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</row>
    <row r="22" spans="1:223" s="88" customFormat="1" ht="60.75" outlineLevel="2">
      <c r="A22" s="312" t="s">
        <v>28</v>
      </c>
      <c r="B22" s="322" t="s">
        <v>364</v>
      </c>
      <c r="C22" s="323"/>
      <c r="D22" s="330" t="s">
        <v>437</v>
      </c>
      <c r="E22" s="325">
        <v>26969</v>
      </c>
      <c r="F22" s="326">
        <v>26969</v>
      </c>
      <c r="G22" s="327">
        <v>13381.04</v>
      </c>
      <c r="H22" s="321">
        <f t="shared" si="1"/>
        <v>49.616374355741783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</row>
    <row r="23" spans="1:223" s="88" customFormat="1" ht="20.25" outlineLevel="2">
      <c r="A23" s="312" t="s">
        <v>28</v>
      </c>
      <c r="B23" s="322" t="s">
        <v>139</v>
      </c>
      <c r="C23" s="323"/>
      <c r="D23" s="324" t="s">
        <v>20</v>
      </c>
      <c r="E23" s="319">
        <v>1894680</v>
      </c>
      <c r="F23" s="326">
        <v>2923803</v>
      </c>
      <c r="G23" s="327">
        <v>687548.93</v>
      </c>
      <c r="H23" s="321">
        <f t="shared" si="1"/>
        <v>23.515569619430586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</row>
    <row r="24" spans="1:223" s="84" customFormat="1" ht="20.25" outlineLevel="1">
      <c r="A24" s="312" t="s">
        <v>28</v>
      </c>
      <c r="B24" s="316">
        <v>3</v>
      </c>
      <c r="C24" s="317" t="s">
        <v>366</v>
      </c>
      <c r="D24" s="318" t="s">
        <v>21</v>
      </c>
      <c r="E24" s="331">
        <f>+E3-E14</f>
        <v>-1101673</v>
      </c>
      <c r="F24" s="320">
        <f>+F3-F14</f>
        <v>-657213</v>
      </c>
      <c r="G24" s="321">
        <f>+G3-G14</f>
        <v>529873.9299999997</v>
      </c>
      <c r="H24" s="332" t="s">
        <v>28</v>
      </c>
    </row>
    <row r="25" spans="1:223" s="84" customFormat="1" ht="20.25" outlineLevel="1">
      <c r="A25" s="312" t="s">
        <v>28</v>
      </c>
      <c r="B25" s="316">
        <v>4</v>
      </c>
      <c r="C25" s="317" t="s">
        <v>367</v>
      </c>
      <c r="D25" s="318" t="s">
        <v>22</v>
      </c>
      <c r="E25" s="331">
        <f>+E26+E28+E30+E32</f>
        <v>1574294</v>
      </c>
      <c r="F25" s="320">
        <f>+F26+F28+F30+F32</f>
        <v>1129834</v>
      </c>
      <c r="G25" s="321">
        <f t="shared" ref="G25:H25" si="3">+G26+G28+G30+G32</f>
        <v>266128.78999999998</v>
      </c>
      <c r="H25" s="321">
        <f t="shared" si="3"/>
        <v>102.35722692307692</v>
      </c>
    </row>
    <row r="26" spans="1:223" ht="20.25" outlineLevel="2">
      <c r="A26" s="312" t="s">
        <v>28</v>
      </c>
      <c r="B26" s="322" t="s">
        <v>140</v>
      </c>
      <c r="C26" s="323"/>
      <c r="D26" s="324" t="s">
        <v>357</v>
      </c>
      <c r="E26" s="333">
        <f>+Zał.1_WPF_bazowy!I33</f>
        <v>0</v>
      </c>
      <c r="F26" s="326">
        <f>+Zał.1_WPF_bazowy!J33</f>
        <v>0</v>
      </c>
      <c r="G26" s="327">
        <f>+Zał.1_WPF_bazowy!K33</f>
        <v>0</v>
      </c>
      <c r="H26" s="327">
        <f>+Zał.1_WPF_bazowy!L33</f>
        <v>0</v>
      </c>
    </row>
    <row r="27" spans="1:223" ht="20.25" outlineLevel="2">
      <c r="A27" s="312" t="s">
        <v>28</v>
      </c>
      <c r="B27" s="322" t="s">
        <v>67</v>
      </c>
      <c r="C27" s="323"/>
      <c r="D27" s="328" t="s">
        <v>479</v>
      </c>
      <c r="E27" s="333">
        <f>+Zał.1_WPF_bazowy!I34</f>
        <v>0</v>
      </c>
      <c r="F27" s="326">
        <f>+Zał.1_WPF_bazowy!J34</f>
        <v>0</v>
      </c>
      <c r="G27" s="327">
        <f>+Zał.1_WPF_bazowy!K34</f>
        <v>0</v>
      </c>
      <c r="H27" s="327">
        <f>+Zał.1_WPF_bazowy!L34</f>
        <v>0</v>
      </c>
    </row>
    <row r="28" spans="1:223" ht="20.25" outlineLevel="2">
      <c r="A28" s="312" t="s">
        <v>28</v>
      </c>
      <c r="B28" s="322" t="s">
        <v>141</v>
      </c>
      <c r="C28" s="323"/>
      <c r="D28" s="324" t="s">
        <v>356</v>
      </c>
      <c r="E28" s="333">
        <v>0</v>
      </c>
      <c r="F28" s="326">
        <v>260000</v>
      </c>
      <c r="G28" s="327">
        <v>266128.78999999998</v>
      </c>
      <c r="H28" s="321">
        <f t="shared" ref="H28" si="4">SUM(G28/F28*100)</f>
        <v>102.35722692307692</v>
      </c>
    </row>
    <row r="29" spans="1:223" ht="20.25" outlineLevel="2">
      <c r="A29" s="312" t="s">
        <v>28</v>
      </c>
      <c r="B29" s="322" t="s">
        <v>70</v>
      </c>
      <c r="C29" s="323"/>
      <c r="D29" s="328" t="s">
        <v>479</v>
      </c>
      <c r="E29" s="333">
        <f>+Zał.1_WPF_bazowy!I36</f>
        <v>0</v>
      </c>
      <c r="F29" s="326">
        <f>+Zał.1_WPF_bazowy!J36</f>
        <v>0</v>
      </c>
      <c r="G29" s="327">
        <f>+Zał.1_WPF_bazowy!K36</f>
        <v>0</v>
      </c>
      <c r="H29" s="327">
        <f>+Zał.1_WPF_bazowy!L36</f>
        <v>0</v>
      </c>
    </row>
    <row r="30" spans="1:223" ht="20.25" outlineLevel="2">
      <c r="A30" s="312" t="s">
        <v>28</v>
      </c>
      <c r="B30" s="322" t="s">
        <v>142</v>
      </c>
      <c r="C30" s="323"/>
      <c r="D30" s="324" t="s">
        <v>480</v>
      </c>
      <c r="E30" s="325">
        <f>1574294</f>
        <v>1574294</v>
      </c>
      <c r="F30" s="326">
        <v>869834</v>
      </c>
      <c r="G30" s="327">
        <f>+Zał.1_WPF_bazowy!K37</f>
        <v>0</v>
      </c>
      <c r="H30" s="321">
        <f t="shared" ref="H30:H31" si="5">SUM(G30/F30*100)</f>
        <v>0</v>
      </c>
    </row>
    <row r="31" spans="1:223" ht="20.25" outlineLevel="2">
      <c r="A31" s="312" t="s">
        <v>28</v>
      </c>
      <c r="B31" s="322" t="s">
        <v>73</v>
      </c>
      <c r="C31" s="323"/>
      <c r="D31" s="328" t="s">
        <v>479</v>
      </c>
      <c r="E31" s="325">
        <f>1101673</f>
        <v>1101673</v>
      </c>
      <c r="F31" s="326">
        <v>657213</v>
      </c>
      <c r="G31" s="327">
        <f>+Zał.1_WPF_bazowy!K38</f>
        <v>0</v>
      </c>
      <c r="H31" s="321">
        <f t="shared" si="5"/>
        <v>0</v>
      </c>
    </row>
    <row r="32" spans="1:223" ht="20.25" outlineLevel="2">
      <c r="A32" s="312" t="s">
        <v>28</v>
      </c>
      <c r="B32" s="322" t="s">
        <v>143</v>
      </c>
      <c r="C32" s="323"/>
      <c r="D32" s="324" t="s">
        <v>74</v>
      </c>
      <c r="E32" s="333">
        <f>+Zał.1_WPF_bazowy!I39</f>
        <v>0</v>
      </c>
      <c r="F32" s="326">
        <f>+Zał.1_WPF_bazowy!J39</f>
        <v>0</v>
      </c>
      <c r="G32" s="327">
        <f>+Zał.1_WPF_bazowy!K39</f>
        <v>0</v>
      </c>
      <c r="H32" s="327">
        <f>+Zał.1_WPF_bazowy!L39</f>
        <v>0</v>
      </c>
    </row>
    <row r="33" spans="1:223" ht="20.25" outlineLevel="2">
      <c r="A33" s="312" t="s">
        <v>28</v>
      </c>
      <c r="B33" s="322" t="s">
        <v>75</v>
      </c>
      <c r="C33" s="323"/>
      <c r="D33" s="328" t="s">
        <v>479</v>
      </c>
      <c r="E33" s="333">
        <f>+Zał.1_WPF_bazowy!I40</f>
        <v>0</v>
      </c>
      <c r="F33" s="326">
        <f>+Zał.1_WPF_bazowy!J40</f>
        <v>0</v>
      </c>
      <c r="G33" s="327">
        <f>+Zał.1_WPF_bazowy!K40</f>
        <v>0</v>
      </c>
      <c r="H33" s="327">
        <f>+Zał.1_WPF_bazowy!L40</f>
        <v>0</v>
      </c>
    </row>
    <row r="34" spans="1:223" s="84" customFormat="1" ht="21" outlineLevel="1" thickBot="1">
      <c r="A34" s="312" t="s">
        <v>28</v>
      </c>
      <c r="B34" s="316">
        <v>5</v>
      </c>
      <c r="C34" s="317" t="s">
        <v>368</v>
      </c>
      <c r="D34" s="318" t="s">
        <v>76</v>
      </c>
      <c r="E34" s="331">
        <f t="shared" ref="E34:G34" si="6">+E35+E40</f>
        <v>472621</v>
      </c>
      <c r="F34" s="320">
        <f t="shared" ref="F34" si="7">+F35+F40</f>
        <v>472621</v>
      </c>
      <c r="G34" s="321">
        <f t="shared" si="6"/>
        <v>228475.14</v>
      </c>
      <c r="H34" s="321">
        <f t="shared" ref="H34:H35" si="8">SUM(G34/F34*100)</f>
        <v>48.342147301960772</v>
      </c>
    </row>
    <row r="35" spans="1:223" s="87" customFormat="1" ht="40.5" outlineLevel="2">
      <c r="A35" s="312" t="s">
        <v>28</v>
      </c>
      <c r="B35" s="322" t="s">
        <v>144</v>
      </c>
      <c r="C35" s="323"/>
      <c r="D35" s="324" t="s">
        <v>478</v>
      </c>
      <c r="E35" s="333">
        <f>+Zał.1_WPF_bazowy!I42</f>
        <v>472621</v>
      </c>
      <c r="F35" s="326">
        <v>472621</v>
      </c>
      <c r="G35" s="327">
        <v>228475.14</v>
      </c>
      <c r="H35" s="321">
        <f t="shared" si="8"/>
        <v>48.342147301960772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</row>
    <row r="36" spans="1:223" s="82" customFormat="1" ht="60.75" outlineLevel="2">
      <c r="A36" s="312" t="s">
        <v>28</v>
      </c>
      <c r="B36" s="322" t="s">
        <v>78</v>
      </c>
      <c r="C36" s="323" t="s">
        <v>369</v>
      </c>
      <c r="D36" s="328" t="s">
        <v>477</v>
      </c>
      <c r="E36" s="334">
        <f t="shared" ref="E36:H36" si="9">+E37+E38+E39</f>
        <v>0</v>
      </c>
      <c r="F36" s="335">
        <f t="shared" ref="F36" si="10">+F37+F38+F39</f>
        <v>0</v>
      </c>
      <c r="G36" s="336">
        <f t="shared" si="9"/>
        <v>0</v>
      </c>
      <c r="H36" s="336">
        <f t="shared" si="9"/>
        <v>0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</row>
    <row r="37" spans="1:223" ht="40.5" outlineLevel="2">
      <c r="A37" s="312" t="s">
        <v>28</v>
      </c>
      <c r="B37" s="322" t="s">
        <v>79</v>
      </c>
      <c r="C37" s="323"/>
      <c r="D37" s="329" t="s">
        <v>476</v>
      </c>
      <c r="E37" s="333">
        <f>+Zał.1_WPF_bazowy!I44</f>
        <v>0</v>
      </c>
      <c r="F37" s="326">
        <f>+Zał.1_WPF_bazowy!J44</f>
        <v>0</v>
      </c>
      <c r="G37" s="327">
        <f>+Zał.1_WPF_bazowy!K44</f>
        <v>0</v>
      </c>
      <c r="H37" s="327">
        <f>+Zał.1_WPF_bazowy!L44</f>
        <v>0</v>
      </c>
    </row>
    <row r="38" spans="1:223" ht="40.5" outlineLevel="2">
      <c r="A38" s="312" t="s">
        <v>28</v>
      </c>
      <c r="B38" s="322" t="s">
        <v>372</v>
      </c>
      <c r="C38" s="323"/>
      <c r="D38" s="329" t="s">
        <v>475</v>
      </c>
      <c r="E38" s="333">
        <f>+Zał.1_WPF_bazowy!I45</f>
        <v>0</v>
      </c>
      <c r="F38" s="326">
        <f>+Zał.1_WPF_bazowy!J45</f>
        <v>0</v>
      </c>
      <c r="G38" s="327">
        <f>+Zał.1_WPF_bazowy!K45</f>
        <v>0</v>
      </c>
      <c r="H38" s="327">
        <f>+Zał.1_WPF_bazowy!L45</f>
        <v>0</v>
      </c>
    </row>
    <row r="39" spans="1:223" ht="40.5" outlineLevel="2">
      <c r="A39" s="312" t="s">
        <v>28</v>
      </c>
      <c r="B39" s="322" t="s">
        <v>374</v>
      </c>
      <c r="C39" s="323"/>
      <c r="D39" s="337" t="s">
        <v>474</v>
      </c>
      <c r="E39" s="333">
        <f>+Zał.1_WPF_bazowy!I46</f>
        <v>0</v>
      </c>
      <c r="F39" s="326">
        <f>+Zał.1_WPF_bazowy!J46</f>
        <v>0</v>
      </c>
      <c r="G39" s="327">
        <f>+Zał.1_WPF_bazowy!K46</f>
        <v>0</v>
      </c>
      <c r="H39" s="327">
        <f>+Zał.1_WPF_bazowy!L46</f>
        <v>0</v>
      </c>
    </row>
    <row r="40" spans="1:223" ht="20.25" outlineLevel="2">
      <c r="A40" s="312"/>
      <c r="B40" s="322" t="s">
        <v>145</v>
      </c>
      <c r="C40" s="323"/>
      <c r="D40" s="324" t="s">
        <v>80</v>
      </c>
      <c r="E40" s="333">
        <f>+Zał.1_WPF_bazowy!I47</f>
        <v>0</v>
      </c>
      <c r="F40" s="326">
        <f>+Zał.1_WPF_bazowy!J47</f>
        <v>0</v>
      </c>
      <c r="G40" s="327">
        <f>+Zał.1_WPF_bazowy!K47</f>
        <v>0</v>
      </c>
      <c r="H40" s="327">
        <f>+Zał.1_WPF_bazowy!L47</f>
        <v>0</v>
      </c>
    </row>
    <row r="41" spans="1:223" s="84" customFormat="1" ht="20.25" outlineLevel="1">
      <c r="A41" s="312" t="s">
        <v>28</v>
      </c>
      <c r="B41" s="316">
        <v>6</v>
      </c>
      <c r="C41" s="317"/>
      <c r="D41" s="318" t="s">
        <v>25</v>
      </c>
      <c r="E41" s="338">
        <v>3248941.43</v>
      </c>
      <c r="F41" s="339">
        <v>2544482.15</v>
      </c>
      <c r="G41" s="340">
        <v>1918794.01</v>
      </c>
      <c r="H41" s="341" t="s">
        <v>28</v>
      </c>
    </row>
    <row r="42" spans="1:223" s="84" customFormat="1" ht="81" outlineLevel="1">
      <c r="A42" s="312"/>
      <c r="B42" s="316">
        <v>7</v>
      </c>
      <c r="C42" s="317"/>
      <c r="D42" s="318" t="s">
        <v>81</v>
      </c>
      <c r="E42" s="342">
        <f>+Zał.1_WPF_bazowy!I49</f>
        <v>0</v>
      </c>
      <c r="F42" s="343">
        <f>+Zał.1_WPF_bazowy!J49</f>
        <v>0</v>
      </c>
      <c r="G42" s="344">
        <f>+Zał.1_WPF_bazowy!K49</f>
        <v>0</v>
      </c>
      <c r="H42" s="344">
        <f>+Zał.1_WPF_bazowy!L49</f>
        <v>0</v>
      </c>
    </row>
    <row r="43" spans="1:223" s="84" customFormat="1" ht="40.5" outlineLevel="1">
      <c r="A43" s="312"/>
      <c r="B43" s="316">
        <v>8</v>
      </c>
      <c r="C43" s="317"/>
      <c r="D43" s="318" t="s">
        <v>146</v>
      </c>
      <c r="E43" s="345" t="s">
        <v>28</v>
      </c>
      <c r="F43" s="346" t="s">
        <v>28</v>
      </c>
      <c r="G43" s="347" t="s">
        <v>28</v>
      </c>
      <c r="H43" s="347" t="s">
        <v>28</v>
      </c>
    </row>
    <row r="44" spans="1:223" ht="20.25" outlineLevel="2">
      <c r="A44" s="312"/>
      <c r="B44" s="322" t="s">
        <v>147</v>
      </c>
      <c r="C44" s="323" t="s">
        <v>376</v>
      </c>
      <c r="D44" s="324" t="s">
        <v>473</v>
      </c>
      <c r="E44" s="334">
        <f t="shared" ref="E44:G44" si="11">+E4-E15</f>
        <v>177569</v>
      </c>
      <c r="F44" s="335">
        <f t="shared" ref="F44" si="12">+F4-F15</f>
        <v>249751</v>
      </c>
      <c r="G44" s="336">
        <f t="shared" si="11"/>
        <v>452346.15999999968</v>
      </c>
      <c r="H44" s="348" t="s">
        <v>28</v>
      </c>
    </row>
    <row r="45" spans="1:223" ht="40.5" outlineLevel="2">
      <c r="A45" s="312"/>
      <c r="B45" s="322" t="s">
        <v>148</v>
      </c>
      <c r="C45" s="323" t="s">
        <v>377</v>
      </c>
      <c r="D45" s="324" t="s">
        <v>472</v>
      </c>
      <c r="E45" s="334">
        <v>177569</v>
      </c>
      <c r="F45" s="335">
        <v>509751</v>
      </c>
      <c r="G45" s="336">
        <v>718474.95</v>
      </c>
      <c r="H45" s="348" t="s">
        <v>28</v>
      </c>
    </row>
    <row r="46" spans="1:223" s="84" customFormat="1" ht="26.25" customHeight="1" outlineLevel="1" collapsed="1">
      <c r="A46" s="304" t="s">
        <v>28</v>
      </c>
      <c r="B46" s="316">
        <v>9</v>
      </c>
      <c r="C46" s="317"/>
      <c r="D46" s="318" t="s">
        <v>149</v>
      </c>
      <c r="E46" s="345" t="s">
        <v>28</v>
      </c>
      <c r="F46" s="346" t="s">
        <v>28</v>
      </c>
      <c r="G46" s="347" t="s">
        <v>28</v>
      </c>
      <c r="H46" s="347" t="s">
        <v>28</v>
      </c>
    </row>
    <row r="47" spans="1:223" ht="101.25" hidden="1" outlineLevel="2">
      <c r="A47" s="304" t="s">
        <v>28</v>
      </c>
      <c r="B47" s="322" t="s">
        <v>150</v>
      </c>
      <c r="C47" s="323" t="s">
        <v>379</v>
      </c>
      <c r="D47" s="324" t="s">
        <v>439</v>
      </c>
      <c r="E47" s="349">
        <v>6.9500000000000006E-2</v>
      </c>
      <c r="F47" s="350">
        <v>5.57E-2</v>
      </c>
      <c r="G47" s="351">
        <v>5.57E-2</v>
      </c>
      <c r="H47" s="348" t="s">
        <v>28</v>
      </c>
    </row>
    <row r="48" spans="1:223" ht="101.25" hidden="1" outlineLevel="2">
      <c r="A48" s="304" t="s">
        <v>28</v>
      </c>
      <c r="B48" s="322" t="s">
        <v>151</v>
      </c>
      <c r="C48" s="352" t="s">
        <v>381</v>
      </c>
      <c r="D48" s="324" t="s">
        <v>440</v>
      </c>
      <c r="E48" s="349">
        <v>6.9500000000000006E-2</v>
      </c>
      <c r="F48" s="350">
        <v>5.2999999999999999E-2</v>
      </c>
      <c r="G48" s="351">
        <v>5.2999999999999999E-2</v>
      </c>
      <c r="H48" s="348" t="s">
        <v>28</v>
      </c>
    </row>
    <row r="49" spans="1:223" ht="60.75" hidden="1" outlineLevel="2">
      <c r="A49" s="304" t="s">
        <v>28</v>
      </c>
      <c r="B49" s="322" t="s">
        <v>152</v>
      </c>
      <c r="C49" s="323"/>
      <c r="D49" s="324" t="s">
        <v>441</v>
      </c>
      <c r="E49" s="333">
        <f>+Zał.1_WPF_bazowy!I56</f>
        <v>0</v>
      </c>
      <c r="F49" s="326">
        <v>0</v>
      </c>
      <c r="G49" s="327">
        <f>+Zał.1_WPF_bazowy!K56</f>
        <v>0</v>
      </c>
      <c r="H49" s="327">
        <f>+Zał.1_WPF_bazowy!L56</f>
        <v>0</v>
      </c>
    </row>
    <row r="50" spans="1:223" ht="101.25" hidden="1" outlineLevel="2">
      <c r="A50" s="304" t="s">
        <v>28</v>
      </c>
      <c r="B50" s="322" t="s">
        <v>153</v>
      </c>
      <c r="C50" s="352" t="s">
        <v>384</v>
      </c>
      <c r="D50" s="324" t="s">
        <v>442</v>
      </c>
      <c r="E50" s="349">
        <v>6.9500000000000006E-2</v>
      </c>
      <c r="F50" s="350">
        <v>5.2999999999999999E-2</v>
      </c>
      <c r="G50" s="351">
        <v>5.2999999999999999E-2</v>
      </c>
      <c r="H50" s="348" t="s">
        <v>28</v>
      </c>
    </row>
    <row r="51" spans="1:223" ht="81" hidden="1" outlineLevel="2">
      <c r="A51" s="304" t="s">
        <v>28</v>
      </c>
      <c r="B51" s="353" t="s">
        <v>154</v>
      </c>
      <c r="C51" s="354" t="s">
        <v>386</v>
      </c>
      <c r="D51" s="355" t="s">
        <v>438</v>
      </c>
      <c r="E51" s="349">
        <v>6.5699999999999995E-2</v>
      </c>
      <c r="F51" s="350">
        <v>4.4699999999999997E-2</v>
      </c>
      <c r="G51" s="351">
        <v>4.4699999999999997E-2</v>
      </c>
      <c r="H51" s="348" t="s">
        <v>28</v>
      </c>
    </row>
    <row r="52" spans="1:223" ht="101.25" hidden="1" outlineLevel="2">
      <c r="A52" s="304" t="s">
        <v>28</v>
      </c>
      <c r="B52" s="322" t="s">
        <v>155</v>
      </c>
      <c r="C52" s="323" t="s">
        <v>388</v>
      </c>
      <c r="D52" s="324" t="s">
        <v>443</v>
      </c>
      <c r="E52" s="349">
        <v>8.2299999999999998E-2</v>
      </c>
      <c r="F52" s="350">
        <v>8.2299999999999998E-2</v>
      </c>
      <c r="G52" s="351">
        <v>8.2299999999999998E-2</v>
      </c>
      <c r="H52" s="348" t="s">
        <v>28</v>
      </c>
    </row>
    <row r="53" spans="1:223" ht="101.25" hidden="1" outlineLevel="2">
      <c r="A53" s="304" t="s">
        <v>28</v>
      </c>
      <c r="B53" s="322" t="s">
        <v>83</v>
      </c>
      <c r="C53" s="323" t="s">
        <v>388</v>
      </c>
      <c r="D53" s="328" t="s">
        <v>444</v>
      </c>
      <c r="E53" s="349">
        <v>8.3900000000000002E-2</v>
      </c>
      <c r="F53" s="350">
        <v>9.9099999999999994E-2</v>
      </c>
      <c r="G53" s="351">
        <v>9.9099999999999994E-2</v>
      </c>
      <c r="H53" s="348" t="s">
        <v>28</v>
      </c>
    </row>
    <row r="54" spans="1:223" ht="101.25" hidden="1" outlineLevel="2">
      <c r="A54" s="304" t="s">
        <v>28</v>
      </c>
      <c r="B54" s="322" t="s">
        <v>156</v>
      </c>
      <c r="C54" s="323" t="s">
        <v>391</v>
      </c>
      <c r="D54" s="324" t="s">
        <v>471</v>
      </c>
      <c r="E54" s="356" t="s">
        <v>495</v>
      </c>
      <c r="F54" s="357" t="str">
        <f>+IF(F3&lt;&gt;0,IF(F52&gt;=F50,"Spełniona","Nie spełniona"),"-")</f>
        <v>Spełniona</v>
      </c>
      <c r="G54" s="357" t="s">
        <v>495</v>
      </c>
      <c r="H54" s="358" t="s">
        <v>28</v>
      </c>
    </row>
    <row r="55" spans="1:223" ht="101.25" hidden="1" outlineLevel="2">
      <c r="A55" s="304" t="s">
        <v>28</v>
      </c>
      <c r="B55" s="322" t="s">
        <v>84</v>
      </c>
      <c r="C55" s="323" t="s">
        <v>393</v>
      </c>
      <c r="D55" s="328" t="s">
        <v>445</v>
      </c>
      <c r="E55" s="356" t="s">
        <v>495</v>
      </c>
      <c r="F55" s="357" t="str">
        <f>+IF(F3&lt;&gt;0,IF(F53&gt;=F50,"Spełniona","Nie spełniona"),"-")</f>
        <v>Spełniona</v>
      </c>
      <c r="G55" s="357" t="s">
        <v>495</v>
      </c>
      <c r="H55" s="358" t="s">
        <v>28</v>
      </c>
    </row>
    <row r="56" spans="1:223" s="84" customFormat="1" ht="22.5" customHeight="1" outlineLevel="1" collapsed="1">
      <c r="A56" s="304"/>
      <c r="B56" s="316">
        <v>10</v>
      </c>
      <c r="C56" s="317"/>
      <c r="D56" s="318" t="s">
        <v>85</v>
      </c>
      <c r="E56" s="342">
        <f>+Zał.1_WPF_bazowy!I63</f>
        <v>0</v>
      </c>
      <c r="F56" s="343">
        <v>0</v>
      </c>
      <c r="G56" s="344">
        <v>0</v>
      </c>
      <c r="H56" s="359" t="s">
        <v>28</v>
      </c>
    </row>
    <row r="57" spans="1:223" s="82" customFormat="1" ht="20.25" hidden="1" outlineLevel="2">
      <c r="A57" s="304"/>
      <c r="B57" s="322" t="s">
        <v>157</v>
      </c>
      <c r="C57" s="323"/>
      <c r="D57" s="324" t="s">
        <v>191</v>
      </c>
      <c r="E57" s="333">
        <f>+Zał.1_WPF_bazowy!I64</f>
        <v>0</v>
      </c>
      <c r="F57" s="326">
        <v>0</v>
      </c>
      <c r="G57" s="327">
        <v>0</v>
      </c>
      <c r="H57" s="360" t="s">
        <v>28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</row>
    <row r="58" spans="1:223" s="89" customFormat="1" ht="40.5" outlineLevel="1">
      <c r="A58" s="304"/>
      <c r="B58" s="316">
        <v>11</v>
      </c>
      <c r="C58" s="317"/>
      <c r="D58" s="318" t="s">
        <v>87</v>
      </c>
      <c r="E58" s="345" t="s">
        <v>28</v>
      </c>
      <c r="F58" s="346" t="s">
        <v>28</v>
      </c>
      <c r="G58" s="347" t="s">
        <v>28</v>
      </c>
      <c r="H58" s="347" t="s">
        <v>28</v>
      </c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84"/>
      <c r="BD58" s="84"/>
      <c r="BE58" s="84"/>
      <c r="BF58" s="84"/>
      <c r="BG58" s="84"/>
      <c r="BH58" s="84"/>
      <c r="BI58" s="84"/>
      <c r="BJ58" s="84"/>
      <c r="BK58" s="84"/>
      <c r="BL58" s="84"/>
      <c r="BM58" s="84"/>
      <c r="BN58" s="84"/>
      <c r="BO58" s="84"/>
      <c r="BP58" s="84"/>
      <c r="BQ58" s="84"/>
      <c r="BR58" s="84"/>
      <c r="BS58" s="84"/>
      <c r="BT58" s="84"/>
      <c r="BU58" s="84"/>
      <c r="BV58" s="84"/>
      <c r="BW58" s="84"/>
      <c r="BX58" s="84"/>
      <c r="BY58" s="84"/>
      <c r="BZ58" s="84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4"/>
      <c r="CO58" s="84"/>
      <c r="CP58" s="84"/>
      <c r="CQ58" s="84"/>
      <c r="CR58" s="84"/>
      <c r="CS58" s="84"/>
      <c r="CT58" s="84"/>
      <c r="CU58" s="84"/>
      <c r="CV58" s="84"/>
      <c r="CW58" s="84"/>
      <c r="CX58" s="84"/>
      <c r="CY58" s="84"/>
      <c r="CZ58" s="84"/>
      <c r="DA58" s="84"/>
      <c r="DB58" s="84"/>
      <c r="DC58" s="84"/>
      <c r="DD58" s="84"/>
      <c r="DE58" s="84"/>
      <c r="DF58" s="84"/>
      <c r="DG58" s="84"/>
      <c r="DH58" s="84"/>
      <c r="DI58" s="84"/>
      <c r="DJ58" s="84"/>
      <c r="DK58" s="84"/>
      <c r="DL58" s="84"/>
      <c r="DM58" s="84"/>
      <c r="DN58" s="84"/>
      <c r="DO58" s="84"/>
      <c r="DP58" s="84"/>
      <c r="DQ58" s="84"/>
      <c r="DR58" s="84"/>
      <c r="DS58" s="84"/>
      <c r="DT58" s="84"/>
      <c r="DU58" s="84"/>
      <c r="DV58" s="84"/>
      <c r="DW58" s="84"/>
      <c r="DX58" s="84"/>
      <c r="DY58" s="84"/>
      <c r="DZ58" s="84"/>
      <c r="EA58" s="84"/>
      <c r="EB58" s="84"/>
      <c r="EC58" s="84"/>
      <c r="ED58" s="84"/>
      <c r="EE58" s="84"/>
      <c r="EF58" s="84"/>
      <c r="EG58" s="84"/>
      <c r="EH58" s="84"/>
      <c r="EI58" s="84"/>
      <c r="EJ58" s="84"/>
      <c r="EK58" s="84"/>
      <c r="EL58" s="84"/>
      <c r="EM58" s="84"/>
      <c r="EN58" s="84"/>
      <c r="EO58" s="84"/>
      <c r="EP58" s="84"/>
      <c r="EQ58" s="84"/>
      <c r="ER58" s="84"/>
      <c r="ES58" s="84"/>
      <c r="ET58" s="84"/>
      <c r="EU58" s="84"/>
      <c r="EV58" s="84"/>
      <c r="EW58" s="84"/>
      <c r="EX58" s="84"/>
      <c r="EY58" s="84"/>
      <c r="EZ58" s="84"/>
      <c r="FA58" s="84"/>
      <c r="FB58" s="84"/>
      <c r="FC58" s="84"/>
      <c r="FD58" s="84"/>
      <c r="FE58" s="84"/>
      <c r="FF58" s="84"/>
      <c r="FG58" s="84"/>
      <c r="FH58" s="84"/>
      <c r="FI58" s="84"/>
      <c r="FJ58" s="84"/>
      <c r="FK58" s="84"/>
      <c r="FL58" s="84"/>
      <c r="FM58" s="84"/>
      <c r="FN58" s="84"/>
      <c r="FO58" s="84"/>
      <c r="FP58" s="84"/>
      <c r="FQ58" s="84"/>
      <c r="FR58" s="84"/>
      <c r="FS58" s="84"/>
      <c r="FT58" s="84"/>
      <c r="FU58" s="84"/>
      <c r="FV58" s="84"/>
      <c r="FW58" s="84"/>
      <c r="FX58" s="84"/>
      <c r="FY58" s="84"/>
      <c r="FZ58" s="84"/>
      <c r="GA58" s="84"/>
      <c r="GB58" s="84"/>
      <c r="GC58" s="84"/>
      <c r="GD58" s="84"/>
      <c r="GE58" s="84"/>
      <c r="GF58" s="84"/>
      <c r="GG58" s="84"/>
      <c r="GH58" s="84"/>
      <c r="GI58" s="84"/>
      <c r="GJ58" s="84"/>
      <c r="GK58" s="84"/>
      <c r="GL58" s="84"/>
      <c r="GM58" s="84"/>
      <c r="GN58" s="84"/>
      <c r="GO58" s="84"/>
      <c r="GP58" s="84"/>
      <c r="GQ58" s="84"/>
      <c r="GR58" s="84"/>
      <c r="GS58" s="84"/>
      <c r="GT58" s="84"/>
      <c r="GU58" s="84"/>
      <c r="GV58" s="84"/>
      <c r="GW58" s="84"/>
      <c r="GX58" s="84"/>
      <c r="GY58" s="84"/>
      <c r="GZ58" s="84"/>
      <c r="HA58" s="84"/>
      <c r="HB58" s="84"/>
      <c r="HC58" s="84"/>
      <c r="HD58" s="84"/>
      <c r="HE58" s="84"/>
      <c r="HF58" s="84"/>
      <c r="HG58" s="84"/>
      <c r="HH58" s="84"/>
      <c r="HI58" s="84"/>
      <c r="HJ58" s="84"/>
      <c r="HK58" s="84"/>
      <c r="HL58" s="84"/>
      <c r="HM58" s="84"/>
      <c r="HN58" s="84"/>
      <c r="HO58" s="84"/>
    </row>
    <row r="59" spans="1:223" ht="20.25" outlineLevel="2">
      <c r="A59" s="304"/>
      <c r="B59" s="322" t="s">
        <v>158</v>
      </c>
      <c r="C59" s="323"/>
      <c r="D59" s="324" t="s">
        <v>192</v>
      </c>
      <c r="E59" s="333">
        <v>3287137</v>
      </c>
      <c r="F59" s="326">
        <v>3315301.8</v>
      </c>
      <c r="G59" s="327">
        <v>1742991.84</v>
      </c>
      <c r="H59" s="321">
        <f t="shared" ref="H59:H81" si="13">SUM(G59/F59*100)</f>
        <v>52.574152977566023</v>
      </c>
    </row>
    <row r="60" spans="1:223" ht="48" customHeight="1" outlineLevel="2">
      <c r="A60" s="304"/>
      <c r="B60" s="322" t="s">
        <v>159</v>
      </c>
      <c r="C60" s="323"/>
      <c r="D60" s="324" t="s">
        <v>193</v>
      </c>
      <c r="E60" s="333">
        <v>1143172</v>
      </c>
      <c r="F60" s="326">
        <v>1154984</v>
      </c>
      <c r="G60" s="327">
        <v>582409.72</v>
      </c>
      <c r="H60" s="321">
        <f t="shared" si="13"/>
        <v>50.425782521662633</v>
      </c>
    </row>
    <row r="61" spans="1:223" ht="40.5" outlineLevel="2">
      <c r="A61" s="304"/>
      <c r="B61" s="322" t="s">
        <v>160</v>
      </c>
      <c r="C61" s="323" t="s">
        <v>395</v>
      </c>
      <c r="D61" s="324" t="s">
        <v>470</v>
      </c>
      <c r="E61" s="334">
        <v>918000</v>
      </c>
      <c r="F61" s="335">
        <v>1470505.19</v>
      </c>
      <c r="G61" s="336">
        <f t="shared" ref="G61" si="14">+G62+G63</f>
        <v>2796.1</v>
      </c>
      <c r="H61" s="321">
        <f t="shared" si="13"/>
        <v>0.19014553767062869</v>
      </c>
    </row>
    <row r="62" spans="1:223" ht="20.25" outlineLevel="2">
      <c r="A62" s="304"/>
      <c r="B62" s="322" t="s">
        <v>90</v>
      </c>
      <c r="C62" s="323"/>
      <c r="D62" s="328" t="s">
        <v>194</v>
      </c>
      <c r="E62" s="333">
        <v>0</v>
      </c>
      <c r="F62" s="326">
        <v>101285.8</v>
      </c>
      <c r="G62" s="327">
        <f>+Zał.1_WPF_bazowy!K69</f>
        <v>0</v>
      </c>
      <c r="H62" s="321">
        <f t="shared" si="13"/>
        <v>0</v>
      </c>
    </row>
    <row r="63" spans="1:223" ht="20.25" outlineLevel="2">
      <c r="A63" s="304"/>
      <c r="B63" s="322" t="s">
        <v>92</v>
      </c>
      <c r="C63" s="323"/>
      <c r="D63" s="328" t="s">
        <v>195</v>
      </c>
      <c r="E63" s="333">
        <v>918000</v>
      </c>
      <c r="F63" s="326">
        <v>1369219.39</v>
      </c>
      <c r="G63" s="327">
        <v>2796.1</v>
      </c>
      <c r="H63" s="321">
        <f t="shared" si="13"/>
        <v>0.20421124769493662</v>
      </c>
    </row>
    <row r="64" spans="1:223" ht="20.25" outlineLevel="2">
      <c r="A64" s="304"/>
      <c r="B64" s="322" t="s">
        <v>161</v>
      </c>
      <c r="C64" s="323"/>
      <c r="D64" s="324" t="s">
        <v>196</v>
      </c>
      <c r="E64" s="333">
        <v>1583800</v>
      </c>
      <c r="F64" s="326">
        <v>1684800</v>
      </c>
      <c r="G64" s="327">
        <v>403814.33</v>
      </c>
      <c r="H64" s="321">
        <f t="shared" si="13"/>
        <v>23.968087013295346</v>
      </c>
    </row>
    <row r="65" spans="1:8" ht="29.25" customHeight="1" outlineLevel="2">
      <c r="A65" s="304"/>
      <c r="B65" s="322" t="s">
        <v>162</v>
      </c>
      <c r="C65" s="323"/>
      <c r="D65" s="324" t="s">
        <v>197</v>
      </c>
      <c r="E65" s="333">
        <v>302986</v>
      </c>
      <c r="F65" s="326">
        <v>1075668</v>
      </c>
      <c r="G65" s="327">
        <v>280399.59999999998</v>
      </c>
      <c r="H65" s="321">
        <f t="shared" si="13"/>
        <v>26.067485506680498</v>
      </c>
    </row>
    <row r="66" spans="1:8" ht="30.75" customHeight="1" outlineLevel="2">
      <c r="A66" s="304"/>
      <c r="B66" s="322" t="s">
        <v>163</v>
      </c>
      <c r="C66" s="323"/>
      <c r="D66" s="324" t="s">
        <v>198</v>
      </c>
      <c r="E66" s="333">
        <v>7894</v>
      </c>
      <c r="F66" s="326">
        <v>163335</v>
      </c>
      <c r="G66" s="327">
        <v>3335</v>
      </c>
      <c r="H66" s="321">
        <f t="shared" si="13"/>
        <v>2.0418158998377569</v>
      </c>
    </row>
    <row r="67" spans="1:8" s="84" customFormat="1" ht="49.5" customHeight="1" outlineLevel="1">
      <c r="A67" s="304"/>
      <c r="B67" s="316">
        <v>12</v>
      </c>
      <c r="C67" s="317"/>
      <c r="D67" s="318" t="s">
        <v>97</v>
      </c>
      <c r="E67" s="345" t="s">
        <v>28</v>
      </c>
      <c r="F67" s="346" t="s">
        <v>28</v>
      </c>
      <c r="G67" s="347" t="s">
        <v>28</v>
      </c>
      <c r="H67" s="347" t="s">
        <v>28</v>
      </c>
    </row>
    <row r="68" spans="1:8" ht="40.5" outlineLevel="2">
      <c r="A68" s="304"/>
      <c r="B68" s="322" t="s">
        <v>164</v>
      </c>
      <c r="C68" s="323"/>
      <c r="D68" s="324" t="s">
        <v>469</v>
      </c>
      <c r="E68" s="333">
        <v>0</v>
      </c>
      <c r="F68" s="326">
        <v>166855.70000000001</v>
      </c>
      <c r="G68" s="327">
        <f>+Zał.1_WPF_bazowy!K75</f>
        <v>0</v>
      </c>
      <c r="H68" s="321">
        <f t="shared" si="13"/>
        <v>0</v>
      </c>
    </row>
    <row r="69" spans="1:8" ht="33" customHeight="1" outlineLevel="2">
      <c r="A69" s="304"/>
      <c r="B69" s="322" t="s">
        <v>99</v>
      </c>
      <c r="C69" s="323"/>
      <c r="D69" s="361" t="s">
        <v>448</v>
      </c>
      <c r="E69" s="333">
        <v>0</v>
      </c>
      <c r="F69" s="326">
        <v>141827.34</v>
      </c>
      <c r="G69" s="327">
        <f>+Zał.1_WPF_bazowy!K76</f>
        <v>0</v>
      </c>
      <c r="H69" s="321">
        <f t="shared" si="13"/>
        <v>0</v>
      </c>
    </row>
    <row r="70" spans="1:8" ht="60.75" outlineLevel="2">
      <c r="A70" s="304"/>
      <c r="B70" s="322" t="s">
        <v>101</v>
      </c>
      <c r="C70" s="323"/>
      <c r="D70" s="362" t="s">
        <v>447</v>
      </c>
      <c r="E70" s="333">
        <v>0</v>
      </c>
      <c r="F70" s="326">
        <v>141827.34</v>
      </c>
      <c r="G70" s="327">
        <f>+Zał.1_WPF_bazowy!K77</f>
        <v>0</v>
      </c>
      <c r="H70" s="321">
        <f t="shared" si="13"/>
        <v>0</v>
      </c>
    </row>
    <row r="71" spans="1:8" ht="60.75" outlineLevel="2">
      <c r="A71" s="304"/>
      <c r="B71" s="322" t="s">
        <v>165</v>
      </c>
      <c r="C71" s="323"/>
      <c r="D71" s="324" t="s">
        <v>468</v>
      </c>
      <c r="E71" s="333">
        <v>195438</v>
      </c>
      <c r="F71" s="326">
        <v>1166609</v>
      </c>
      <c r="G71" s="327">
        <v>690780</v>
      </c>
      <c r="H71" s="321">
        <f t="shared" si="13"/>
        <v>59.21264108197348</v>
      </c>
    </row>
    <row r="72" spans="1:8" ht="30.75" customHeight="1" outlineLevel="2">
      <c r="A72" s="304"/>
      <c r="B72" s="322" t="s">
        <v>104</v>
      </c>
      <c r="C72" s="323"/>
      <c r="D72" s="361" t="s">
        <v>448</v>
      </c>
      <c r="E72" s="333">
        <v>195438</v>
      </c>
      <c r="F72" s="326">
        <v>1095933.3500000001</v>
      </c>
      <c r="G72" s="327">
        <v>690780</v>
      </c>
      <c r="H72" s="321">
        <f t="shared" si="13"/>
        <v>63.031205319192075</v>
      </c>
    </row>
    <row r="73" spans="1:8" ht="60.75" outlineLevel="2">
      <c r="A73" s="304"/>
      <c r="B73" s="322" t="s">
        <v>106</v>
      </c>
      <c r="C73" s="323"/>
      <c r="D73" s="362" t="s">
        <v>446</v>
      </c>
      <c r="E73" s="333">
        <v>195438</v>
      </c>
      <c r="F73" s="326">
        <v>1095933.3500000001</v>
      </c>
      <c r="G73" s="327">
        <v>690780</v>
      </c>
      <c r="H73" s="321">
        <f t="shared" si="13"/>
        <v>63.031205319192075</v>
      </c>
    </row>
    <row r="74" spans="1:8" ht="40.5" outlineLevel="2">
      <c r="A74" s="304"/>
      <c r="B74" s="322" t="s">
        <v>166</v>
      </c>
      <c r="C74" s="323"/>
      <c r="D74" s="324" t="s">
        <v>199</v>
      </c>
      <c r="E74" s="333">
        <v>0</v>
      </c>
      <c r="F74" s="326">
        <v>166855.70000000001</v>
      </c>
      <c r="G74" s="327">
        <f>+Zał.1_WPF_bazowy!K81</f>
        <v>0</v>
      </c>
      <c r="H74" s="321">
        <f t="shared" si="13"/>
        <v>0</v>
      </c>
    </row>
    <row r="75" spans="1:8" ht="40.5" outlineLevel="2">
      <c r="A75" s="304"/>
      <c r="B75" s="322" t="s">
        <v>109</v>
      </c>
      <c r="C75" s="323"/>
      <c r="D75" s="361" t="s">
        <v>467</v>
      </c>
      <c r="E75" s="333">
        <v>0</v>
      </c>
      <c r="F75" s="326">
        <v>141827.34</v>
      </c>
      <c r="G75" s="327">
        <f>+Zał.1_WPF_bazowy!K82</f>
        <v>0</v>
      </c>
      <c r="H75" s="321">
        <f t="shared" si="13"/>
        <v>0</v>
      </c>
    </row>
    <row r="76" spans="1:8" ht="81" outlineLevel="2">
      <c r="A76" s="304"/>
      <c r="B76" s="322" t="s">
        <v>111</v>
      </c>
      <c r="C76" s="323"/>
      <c r="D76" s="328" t="s">
        <v>200</v>
      </c>
      <c r="E76" s="333">
        <v>0</v>
      </c>
      <c r="F76" s="326">
        <v>166855.70000000001</v>
      </c>
      <c r="G76" s="327">
        <f>+Zał.1_WPF_bazowy!K83</f>
        <v>0</v>
      </c>
      <c r="H76" s="321">
        <f t="shared" si="13"/>
        <v>0</v>
      </c>
    </row>
    <row r="77" spans="1:8" ht="40.5" outlineLevel="2">
      <c r="A77" s="304"/>
      <c r="B77" s="322" t="s">
        <v>167</v>
      </c>
      <c r="C77" s="323"/>
      <c r="D77" s="324" t="s">
        <v>201</v>
      </c>
      <c r="E77" s="333">
        <v>379791.17</v>
      </c>
      <c r="F77" s="326">
        <v>850962.17</v>
      </c>
      <c r="G77" s="327">
        <v>379765.81</v>
      </c>
      <c r="H77" s="321">
        <f t="shared" si="13"/>
        <v>44.627813478476959</v>
      </c>
    </row>
    <row r="78" spans="1:8" ht="40.5" outlineLevel="2">
      <c r="A78" s="304"/>
      <c r="B78" s="322" t="s">
        <v>114</v>
      </c>
      <c r="C78" s="323"/>
      <c r="D78" s="361" t="s">
        <v>466</v>
      </c>
      <c r="E78" s="333">
        <v>178259.66</v>
      </c>
      <c r="F78" s="326">
        <v>578755.01</v>
      </c>
      <c r="G78" s="327">
        <v>178244.02</v>
      </c>
      <c r="H78" s="321">
        <f t="shared" si="13"/>
        <v>30.797836203612299</v>
      </c>
    </row>
    <row r="79" spans="1:8" ht="81" outlineLevel="2">
      <c r="A79" s="304"/>
      <c r="B79" s="322" t="s">
        <v>116</v>
      </c>
      <c r="C79" s="323"/>
      <c r="D79" s="328" t="s">
        <v>202</v>
      </c>
      <c r="E79" s="333">
        <v>379791.17</v>
      </c>
      <c r="F79" s="326">
        <v>850962.17</v>
      </c>
      <c r="G79" s="327">
        <v>379765.81</v>
      </c>
      <c r="H79" s="321">
        <f t="shared" si="13"/>
        <v>44.627813478476959</v>
      </c>
    </row>
    <row r="80" spans="1:8" ht="81" outlineLevel="2">
      <c r="A80" s="304"/>
      <c r="B80" s="322" t="s">
        <v>397</v>
      </c>
      <c r="C80" s="323"/>
      <c r="D80" s="324" t="s">
        <v>465</v>
      </c>
      <c r="E80" s="333">
        <v>0</v>
      </c>
      <c r="F80" s="326">
        <v>287400.03000000003</v>
      </c>
      <c r="G80" s="327">
        <v>201521.79</v>
      </c>
      <c r="H80" s="321">
        <f t="shared" si="13"/>
        <v>70.118917524121343</v>
      </c>
    </row>
    <row r="81" spans="1:8" ht="40.5" outlineLevel="2">
      <c r="A81" s="304"/>
      <c r="B81" s="322" t="s">
        <v>399</v>
      </c>
      <c r="C81" s="323"/>
      <c r="D81" s="328" t="s">
        <v>450</v>
      </c>
      <c r="E81" s="333">
        <v>0</v>
      </c>
      <c r="F81" s="326">
        <v>287400.03000000003</v>
      </c>
      <c r="G81" s="327">
        <v>201521.79</v>
      </c>
      <c r="H81" s="321">
        <f t="shared" si="13"/>
        <v>70.118917524121343</v>
      </c>
    </row>
    <row r="82" spans="1:8" ht="56.25" outlineLevel="2">
      <c r="A82" s="304"/>
      <c r="B82" s="322" t="s">
        <v>401</v>
      </c>
      <c r="C82" s="323"/>
      <c r="D82" s="313" t="s">
        <v>449</v>
      </c>
      <c r="E82" s="333">
        <f>+Zał.1_WPF_bazowy!I89</f>
        <v>0</v>
      </c>
      <c r="F82" s="326">
        <f>+Zał.1_WPF_bazowy!J89</f>
        <v>0</v>
      </c>
      <c r="G82" s="327">
        <f>+Zał.1_WPF_bazowy!K89</f>
        <v>0</v>
      </c>
      <c r="H82" s="327">
        <f>+Zał.1_WPF_bazowy!L89</f>
        <v>0</v>
      </c>
    </row>
    <row r="83" spans="1:8" ht="37.5" outlineLevel="2">
      <c r="A83" s="304"/>
      <c r="B83" s="322" t="s">
        <v>403</v>
      </c>
      <c r="C83" s="323"/>
      <c r="D83" s="314" t="s">
        <v>450</v>
      </c>
      <c r="E83" s="333">
        <f>+Zał.1_WPF_bazowy!I90</f>
        <v>0</v>
      </c>
      <c r="F83" s="326">
        <f>+Zał.1_WPF_bazowy!J90</f>
        <v>0</v>
      </c>
      <c r="G83" s="327">
        <f>+Zał.1_WPF_bazowy!K90</f>
        <v>0</v>
      </c>
      <c r="H83" s="327">
        <f>+Zał.1_WPF_bazowy!L90</f>
        <v>0</v>
      </c>
    </row>
    <row r="84" spans="1:8" ht="75" outlineLevel="2">
      <c r="A84" s="304"/>
      <c r="B84" s="322" t="s">
        <v>404</v>
      </c>
      <c r="C84" s="323"/>
      <c r="D84" s="313" t="s">
        <v>464</v>
      </c>
      <c r="E84" s="333">
        <f>+Zał.1_WPF_bazowy!I91</f>
        <v>0</v>
      </c>
      <c r="F84" s="326">
        <f>+Zał.1_WPF_bazowy!J91</f>
        <v>0</v>
      </c>
      <c r="G84" s="327">
        <f>+Zał.1_WPF_bazowy!K91</f>
        <v>0</v>
      </c>
      <c r="H84" s="327">
        <f>+Zał.1_WPF_bazowy!L91</f>
        <v>0</v>
      </c>
    </row>
    <row r="85" spans="1:8" ht="37.5" outlineLevel="2">
      <c r="A85" s="304"/>
      <c r="B85" s="322" t="s">
        <v>406</v>
      </c>
      <c r="C85" s="323"/>
      <c r="D85" s="314" t="s">
        <v>450</v>
      </c>
      <c r="E85" s="333">
        <f>+Zał.1_WPF_bazowy!I92</f>
        <v>0</v>
      </c>
      <c r="F85" s="326">
        <f>+Zał.1_WPF_bazowy!J92</f>
        <v>0</v>
      </c>
      <c r="G85" s="327">
        <f>+Zał.1_WPF_bazowy!K92</f>
        <v>0</v>
      </c>
      <c r="H85" s="327">
        <f>+Zał.1_WPF_bazowy!L92</f>
        <v>0</v>
      </c>
    </row>
    <row r="86" spans="1:8" ht="75" outlineLevel="2">
      <c r="A86" s="304"/>
      <c r="B86" s="322" t="s">
        <v>407</v>
      </c>
      <c r="C86" s="323"/>
      <c r="D86" s="313" t="s">
        <v>463</v>
      </c>
      <c r="E86" s="333">
        <f>+Zał.1_WPF_bazowy!I93</f>
        <v>0</v>
      </c>
      <c r="F86" s="326">
        <f>+Zał.1_WPF_bazowy!J93</f>
        <v>0</v>
      </c>
      <c r="G86" s="327">
        <f>+Zał.1_WPF_bazowy!K93</f>
        <v>0</v>
      </c>
      <c r="H86" s="327">
        <f>+Zał.1_WPF_bazowy!L93</f>
        <v>0</v>
      </c>
    </row>
    <row r="87" spans="1:8" ht="37.5" outlineLevel="2">
      <c r="A87" s="304"/>
      <c r="B87" s="322" t="s">
        <v>409</v>
      </c>
      <c r="C87" s="323"/>
      <c r="D87" s="314" t="s">
        <v>450</v>
      </c>
      <c r="E87" s="333">
        <f>+Zał.1_WPF_bazowy!I94</f>
        <v>0</v>
      </c>
      <c r="F87" s="326">
        <f>+Zał.1_WPF_bazowy!J94</f>
        <v>0</v>
      </c>
      <c r="G87" s="327">
        <f>+Zał.1_WPF_bazowy!K94</f>
        <v>0</v>
      </c>
      <c r="H87" s="327">
        <f>+Zał.1_WPF_bazowy!L94</f>
        <v>0</v>
      </c>
    </row>
    <row r="88" spans="1:8" s="84" customFormat="1" ht="56.25" outlineLevel="1">
      <c r="A88" s="304"/>
      <c r="B88" s="316">
        <v>13</v>
      </c>
      <c r="C88" s="317"/>
      <c r="D88" s="376" t="s">
        <v>118</v>
      </c>
      <c r="E88" s="345" t="s">
        <v>28</v>
      </c>
      <c r="F88" s="346" t="s">
        <v>28</v>
      </c>
      <c r="G88" s="347" t="s">
        <v>28</v>
      </c>
      <c r="H88" s="347" t="s">
        <v>28</v>
      </c>
    </row>
    <row r="89" spans="1:8" ht="56.25" outlineLevel="2">
      <c r="A89" s="304"/>
      <c r="B89" s="322" t="s">
        <v>168</v>
      </c>
      <c r="C89" s="323"/>
      <c r="D89" s="313" t="s">
        <v>203</v>
      </c>
      <c r="E89" s="363">
        <v>0</v>
      </c>
      <c r="F89" s="364">
        <v>0</v>
      </c>
      <c r="G89" s="365">
        <f>+IF(G3&lt;&gt;0,F89-(G91+G92+G93+G94),0)</f>
        <v>0</v>
      </c>
      <c r="H89" s="365">
        <f>+IF(H3&lt;&gt;0,G89-(H91+H92+H93+H94),0)</f>
        <v>0</v>
      </c>
    </row>
    <row r="90" spans="1:8" ht="56.25" outlineLevel="2">
      <c r="A90" s="304"/>
      <c r="B90" s="322" t="s">
        <v>169</v>
      </c>
      <c r="C90" s="323"/>
      <c r="D90" s="313" t="s">
        <v>451</v>
      </c>
      <c r="E90" s="333">
        <f>+Zał.1_WPF_bazowy!I97</f>
        <v>0</v>
      </c>
      <c r="F90" s="326">
        <f>+Zał.1_WPF_bazowy!J97</f>
        <v>0</v>
      </c>
      <c r="G90" s="327">
        <f>+Zał.1_WPF_bazowy!K97</f>
        <v>0</v>
      </c>
      <c r="H90" s="327">
        <f>+Zał.1_WPF_bazowy!L97</f>
        <v>0</v>
      </c>
    </row>
    <row r="91" spans="1:8" ht="37.5" outlineLevel="2">
      <c r="A91" s="304"/>
      <c r="B91" s="322" t="s">
        <v>170</v>
      </c>
      <c r="C91" s="323"/>
      <c r="D91" s="313" t="s">
        <v>204</v>
      </c>
      <c r="E91" s="333">
        <f>+Zał.1_WPF_bazowy!I98</f>
        <v>0</v>
      </c>
      <c r="F91" s="326">
        <f>+Zał.1_WPF_bazowy!J98</f>
        <v>0</v>
      </c>
      <c r="G91" s="327">
        <f>+Zał.1_WPF_bazowy!K98</f>
        <v>0</v>
      </c>
      <c r="H91" s="327">
        <f>+Zał.1_WPF_bazowy!L98</f>
        <v>0</v>
      </c>
    </row>
    <row r="92" spans="1:8" ht="56.25" outlineLevel="2">
      <c r="A92" s="304"/>
      <c r="B92" s="322" t="s">
        <v>171</v>
      </c>
      <c r="C92" s="323"/>
      <c r="D92" s="313" t="s">
        <v>452</v>
      </c>
      <c r="E92" s="333">
        <f>+Zał.1_WPF_bazowy!I99</f>
        <v>0</v>
      </c>
      <c r="F92" s="326">
        <f>+Zał.1_WPF_bazowy!J99</f>
        <v>0</v>
      </c>
      <c r="G92" s="327">
        <f>+Zał.1_WPF_bazowy!K99</f>
        <v>0</v>
      </c>
      <c r="H92" s="327">
        <f>+Zał.1_WPF_bazowy!L99</f>
        <v>0</v>
      </c>
    </row>
    <row r="93" spans="1:8" ht="56.25" outlineLevel="2">
      <c r="A93" s="304"/>
      <c r="B93" s="322" t="s">
        <v>172</v>
      </c>
      <c r="C93" s="323"/>
      <c r="D93" s="313" t="s">
        <v>453</v>
      </c>
      <c r="E93" s="333">
        <f>+Zał.1_WPF_bazowy!I100</f>
        <v>0</v>
      </c>
      <c r="F93" s="326">
        <f>+Zał.1_WPF_bazowy!J100</f>
        <v>0</v>
      </c>
      <c r="G93" s="327">
        <f>+Zał.1_WPF_bazowy!K100</f>
        <v>0</v>
      </c>
      <c r="H93" s="327">
        <f>+Zał.1_WPF_bazowy!L100</f>
        <v>0</v>
      </c>
    </row>
    <row r="94" spans="1:8" ht="56.25" outlineLevel="2">
      <c r="A94" s="304"/>
      <c r="B94" s="322" t="s">
        <v>173</v>
      </c>
      <c r="C94" s="323"/>
      <c r="D94" s="313" t="s">
        <v>205</v>
      </c>
      <c r="E94" s="333">
        <f>+Zał.1_WPF_bazowy!I101</f>
        <v>0</v>
      </c>
      <c r="F94" s="326">
        <f>+Zał.1_WPF_bazowy!J101</f>
        <v>0</v>
      </c>
      <c r="G94" s="327">
        <f>+Zał.1_WPF_bazowy!K101</f>
        <v>0</v>
      </c>
      <c r="H94" s="327">
        <f>+Zał.1_WPF_bazowy!L101</f>
        <v>0</v>
      </c>
    </row>
    <row r="95" spans="1:8" ht="37.5" outlineLevel="2">
      <c r="A95" s="304"/>
      <c r="B95" s="322" t="s">
        <v>174</v>
      </c>
      <c r="C95" s="323"/>
      <c r="D95" s="313" t="s">
        <v>206</v>
      </c>
      <c r="E95" s="333">
        <f>+Zał.1_WPF_bazowy!I102</f>
        <v>0</v>
      </c>
      <c r="F95" s="326">
        <f>+Zał.1_WPF_bazowy!J102</f>
        <v>0</v>
      </c>
      <c r="G95" s="327">
        <f>+Zał.1_WPF_bazowy!K102</f>
        <v>0</v>
      </c>
      <c r="H95" s="327">
        <f>+Zał.1_WPF_bazowy!L102</f>
        <v>0</v>
      </c>
    </row>
    <row r="96" spans="1:8" s="84" customFormat="1" ht="20.25" outlineLevel="1">
      <c r="A96" s="304" t="s">
        <v>28</v>
      </c>
      <c r="B96" s="316">
        <v>14</v>
      </c>
      <c r="C96" s="317"/>
      <c r="D96" s="318" t="s">
        <v>126</v>
      </c>
      <c r="E96" s="345" t="s">
        <v>28</v>
      </c>
      <c r="F96" s="346" t="s">
        <v>28</v>
      </c>
      <c r="G96" s="347" t="s">
        <v>28</v>
      </c>
      <c r="H96" s="347" t="s">
        <v>28</v>
      </c>
    </row>
    <row r="97" spans="1:8" ht="61.5" customHeight="1" outlineLevel="2">
      <c r="A97" s="304" t="s">
        <v>28</v>
      </c>
      <c r="B97" s="322" t="s">
        <v>175</v>
      </c>
      <c r="C97" s="323"/>
      <c r="D97" s="324" t="s">
        <v>207</v>
      </c>
      <c r="E97" s="333">
        <f>+Zał.1_WPF_bazowy!I104</f>
        <v>472621</v>
      </c>
      <c r="F97" s="326">
        <v>472621</v>
      </c>
      <c r="G97" s="327">
        <v>228475.14</v>
      </c>
      <c r="H97" s="321">
        <f t="shared" ref="H97" si="15">SUM(G97/F97*100)</f>
        <v>48.342147301960772</v>
      </c>
    </row>
    <row r="98" spans="1:8" ht="40.5" outlineLevel="2">
      <c r="A98" s="304" t="s">
        <v>28</v>
      </c>
      <c r="B98" s="322" t="s">
        <v>176</v>
      </c>
      <c r="C98" s="323"/>
      <c r="D98" s="324" t="s">
        <v>208</v>
      </c>
      <c r="E98" s="333">
        <f>+Zał.1_WPF_bazowy!I105</f>
        <v>0</v>
      </c>
      <c r="F98" s="326">
        <f>+Zał.1_WPF_bazowy!J105</f>
        <v>0</v>
      </c>
      <c r="G98" s="327">
        <f>+Zał.1_WPF_bazowy!K105</f>
        <v>0</v>
      </c>
      <c r="H98" s="327">
        <f>+Zał.1_WPF_bazowy!L105</f>
        <v>0</v>
      </c>
    </row>
    <row r="99" spans="1:8" ht="20.25" outlineLevel="2">
      <c r="A99" s="304" t="s">
        <v>28</v>
      </c>
      <c r="B99" s="322" t="s">
        <v>177</v>
      </c>
      <c r="C99" s="323"/>
      <c r="D99" s="324" t="s">
        <v>454</v>
      </c>
      <c r="E99" s="333">
        <f>+Zał.1_WPF_bazowy!I106</f>
        <v>0</v>
      </c>
      <c r="F99" s="326">
        <f>+Zał.1_WPF_bazowy!J106</f>
        <v>0</v>
      </c>
      <c r="G99" s="327">
        <f>+Zał.1_WPF_bazowy!K106</f>
        <v>0</v>
      </c>
      <c r="H99" s="327">
        <f>+Zał.1_WPF_bazowy!L106</f>
        <v>0</v>
      </c>
    </row>
    <row r="100" spans="1:8" ht="40.5" outlineLevel="2">
      <c r="A100" s="304" t="s">
        <v>28</v>
      </c>
      <c r="B100" s="322" t="s">
        <v>130</v>
      </c>
      <c r="C100" s="323"/>
      <c r="D100" s="328" t="s">
        <v>209</v>
      </c>
      <c r="E100" s="333">
        <f>+Zał.1_WPF_bazowy!I107</f>
        <v>0</v>
      </c>
      <c r="F100" s="326">
        <f>+Zał.1_WPF_bazowy!J107</f>
        <v>0</v>
      </c>
      <c r="G100" s="327">
        <f>+Zał.1_WPF_bazowy!K107</f>
        <v>0</v>
      </c>
      <c r="H100" s="327">
        <f>+Zał.1_WPF_bazowy!L107</f>
        <v>0</v>
      </c>
    </row>
    <row r="101" spans="1:8" ht="40.5" outlineLevel="2">
      <c r="A101" s="304" t="s">
        <v>28</v>
      </c>
      <c r="B101" s="322" t="s">
        <v>132</v>
      </c>
      <c r="C101" s="323"/>
      <c r="D101" s="328" t="s">
        <v>455</v>
      </c>
      <c r="E101" s="333">
        <f>+Zał.1_WPF_bazowy!I108</f>
        <v>0</v>
      </c>
      <c r="F101" s="326">
        <f>+Zał.1_WPF_bazowy!J108</f>
        <v>0</v>
      </c>
      <c r="G101" s="327">
        <f>+Zał.1_WPF_bazowy!K108</f>
        <v>0</v>
      </c>
      <c r="H101" s="327">
        <f>+Zał.1_WPF_bazowy!L108</f>
        <v>0</v>
      </c>
    </row>
    <row r="102" spans="1:8" ht="20.25" outlineLevel="2">
      <c r="A102" s="304" t="s">
        <v>28</v>
      </c>
      <c r="B102" s="322" t="s">
        <v>133</v>
      </c>
      <c r="C102" s="323"/>
      <c r="D102" s="328" t="s">
        <v>210</v>
      </c>
      <c r="E102" s="333">
        <f>+Zał.1_WPF_bazowy!I109</f>
        <v>0</v>
      </c>
      <c r="F102" s="326">
        <f>+Zał.1_WPF_bazowy!J109</f>
        <v>0</v>
      </c>
      <c r="G102" s="327">
        <f>+Zał.1_WPF_bazowy!K109</f>
        <v>0</v>
      </c>
      <c r="H102" s="327">
        <f>+Zał.1_WPF_bazowy!L109</f>
        <v>0</v>
      </c>
    </row>
    <row r="103" spans="1:8" ht="40.5" outlineLevel="2">
      <c r="A103" s="304" t="s">
        <v>28</v>
      </c>
      <c r="B103" s="322" t="s">
        <v>178</v>
      </c>
      <c r="C103" s="323"/>
      <c r="D103" s="324" t="s">
        <v>462</v>
      </c>
      <c r="E103" s="333">
        <f>+Zał.1_WPF_bazowy!I110</f>
        <v>0</v>
      </c>
      <c r="F103" s="326">
        <f>+Zał.1_WPF_bazowy!J110</f>
        <v>0</v>
      </c>
      <c r="G103" s="327">
        <f>+Zał.1_WPF_bazowy!K110</f>
        <v>0</v>
      </c>
      <c r="H103" s="327">
        <f>+Zał.1_WPF_bazowy!L110</f>
        <v>0</v>
      </c>
    </row>
    <row r="104" spans="1:8" ht="20.25" outlineLevel="2">
      <c r="A104" s="304"/>
      <c r="B104" s="316">
        <v>15</v>
      </c>
      <c r="C104" s="317"/>
      <c r="D104" s="318" t="s">
        <v>411</v>
      </c>
      <c r="E104" s="345" t="s">
        <v>28</v>
      </c>
      <c r="F104" s="346" t="s">
        <v>28</v>
      </c>
      <c r="G104" s="347" t="s">
        <v>28</v>
      </c>
      <c r="H104" s="347" t="s">
        <v>28</v>
      </c>
    </row>
    <row r="105" spans="1:8" ht="40.5" outlineLevel="2">
      <c r="A105" s="304"/>
      <c r="B105" s="322" t="s">
        <v>412</v>
      </c>
      <c r="C105" s="323"/>
      <c r="D105" s="324" t="s">
        <v>457</v>
      </c>
      <c r="E105" s="333">
        <f>+Zał.1_WPF_bazowy!I112</f>
        <v>0</v>
      </c>
      <c r="F105" s="326">
        <f>+Zał.1_WPF_bazowy!J112</f>
        <v>0</v>
      </c>
      <c r="G105" s="327">
        <f>+Zał.1_WPF_bazowy!K112</f>
        <v>0</v>
      </c>
      <c r="H105" s="327">
        <f>+Zał.1_WPF_bazowy!L112</f>
        <v>0</v>
      </c>
    </row>
    <row r="106" spans="1:8" ht="20.25" outlineLevel="2">
      <c r="A106" s="304" t="s">
        <v>28</v>
      </c>
      <c r="B106" s="322" t="s">
        <v>414</v>
      </c>
      <c r="C106" s="323"/>
      <c r="D106" s="328" t="s">
        <v>456</v>
      </c>
      <c r="E106" s="333">
        <f>+Zał.1_WPF_bazowy!I113</f>
        <v>0</v>
      </c>
      <c r="F106" s="326">
        <f>+Zał.1_WPF_bazowy!J113</f>
        <v>0</v>
      </c>
      <c r="G106" s="327">
        <f>+Zał.1_WPF_bazowy!K113</f>
        <v>0</v>
      </c>
      <c r="H106" s="327">
        <f>+Zał.1_WPF_bazowy!L113</f>
        <v>0</v>
      </c>
    </row>
    <row r="107" spans="1:8" ht="60.75" outlineLevel="2">
      <c r="A107" s="315" t="s">
        <v>28</v>
      </c>
      <c r="B107" s="366" t="s">
        <v>416</v>
      </c>
      <c r="C107" s="367"/>
      <c r="D107" s="368" t="s">
        <v>418</v>
      </c>
      <c r="E107" s="369">
        <f>+Zał.1_WPF_bazowy!I114</f>
        <v>0</v>
      </c>
      <c r="F107" s="370">
        <f>+Zał.1_WPF_bazowy!J114</f>
        <v>0</v>
      </c>
      <c r="G107" s="371">
        <f>+Zał.1_WPF_bazowy!K114</f>
        <v>0</v>
      </c>
      <c r="H107" s="371">
        <f>+Zał.1_WPF_bazowy!L114</f>
        <v>0</v>
      </c>
    </row>
    <row r="108" spans="1:8" ht="123.75" customHeight="1">
      <c r="B108" s="80"/>
      <c r="C108" s="80"/>
      <c r="D108" s="80"/>
      <c r="E108" s="202"/>
      <c r="F108" s="202"/>
      <c r="G108" s="202"/>
      <c r="H108" s="202"/>
    </row>
    <row r="109" spans="1:8">
      <c r="B109" s="80"/>
      <c r="C109" s="80"/>
      <c r="D109" s="80"/>
      <c r="E109" s="202"/>
      <c r="F109" s="267"/>
      <c r="G109" s="202"/>
      <c r="H109" s="202"/>
    </row>
    <row r="110" spans="1:8">
      <c r="B110" s="80"/>
      <c r="C110" s="80"/>
      <c r="D110" s="80"/>
      <c r="E110" s="202"/>
      <c r="F110" s="202"/>
      <c r="G110" s="202"/>
      <c r="H110" s="202"/>
    </row>
    <row r="111" spans="1:8">
      <c r="B111" s="94"/>
      <c r="C111" s="94"/>
      <c r="D111" s="80"/>
      <c r="E111" s="202"/>
      <c r="F111" s="202"/>
      <c r="G111" s="202"/>
      <c r="H111" s="202"/>
    </row>
    <row r="112" spans="1:8">
      <c r="B112" s="94"/>
      <c r="C112" s="94"/>
      <c r="D112" s="80"/>
      <c r="E112" s="202"/>
      <c r="F112" s="202"/>
      <c r="G112" s="202"/>
      <c r="H112" s="202"/>
    </row>
    <row r="113" spans="1:9" s="64" customFormat="1" ht="15">
      <c r="A113" s="232"/>
      <c r="B113" s="95" t="s">
        <v>308</v>
      </c>
      <c r="C113" s="95"/>
      <c r="D113" s="95"/>
      <c r="E113" s="80"/>
      <c r="F113" s="80"/>
      <c r="G113" s="80"/>
      <c r="H113" s="80"/>
      <c r="I113" s="78"/>
    </row>
    <row r="114" spans="1:9" s="64" customFormat="1" outlineLevel="1">
      <c r="A114" s="232"/>
      <c r="B114" s="97"/>
      <c r="C114" s="97"/>
      <c r="D114" s="98" t="s">
        <v>309</v>
      </c>
      <c r="E114" s="80"/>
      <c r="F114" s="80"/>
      <c r="G114" s="80"/>
      <c r="H114" s="80"/>
      <c r="I114" s="78"/>
    </row>
    <row r="115" spans="1:9" s="64" customFormat="1" outlineLevel="1">
      <c r="A115" s="232"/>
      <c r="B115" s="97"/>
      <c r="C115" s="97"/>
      <c r="D115" s="99" t="s">
        <v>310</v>
      </c>
      <c r="E115" s="80"/>
      <c r="F115" s="80"/>
      <c r="G115" s="80"/>
      <c r="H115" s="80"/>
      <c r="I115" s="78"/>
    </row>
    <row r="116" spans="1:9" s="64" customFormat="1" outlineLevel="1">
      <c r="A116" s="232"/>
      <c r="B116" s="97"/>
      <c r="C116" s="97"/>
      <c r="D116" s="100" t="s">
        <v>265</v>
      </c>
      <c r="E116" s="80"/>
      <c r="F116" s="80"/>
      <c r="G116" s="80"/>
      <c r="H116" s="80"/>
      <c r="I116" s="78"/>
    </row>
    <row r="117" spans="1:9" s="64" customFormat="1" outlineLevel="1">
      <c r="A117" s="232"/>
      <c r="B117" s="200"/>
      <c r="C117" s="200"/>
      <c r="D117" s="201" t="s">
        <v>337</v>
      </c>
      <c r="E117" s="80"/>
      <c r="F117" s="80"/>
      <c r="G117" s="80"/>
      <c r="H117" s="80"/>
      <c r="I117" s="78"/>
    </row>
    <row r="118" spans="1:9" s="64" customFormat="1" outlineLevel="2">
      <c r="A118" s="232"/>
      <c r="B118" s="223"/>
      <c r="C118" s="224" t="s">
        <v>215</v>
      </c>
      <c r="D118" s="65" t="s">
        <v>260</v>
      </c>
      <c r="E118" s="207" t="str">
        <f t="shared" ref="E118:H118" si="16">IF(ROUND(E4+E26+E28,2)&gt;=ROUND(E15-E18,2),"TAK","NIE")</f>
        <v>TAK</v>
      </c>
      <c r="F118" s="205" t="str">
        <f t="shared" si="16"/>
        <v>TAK</v>
      </c>
      <c r="G118" s="205" t="str">
        <f t="shared" si="16"/>
        <v>TAK</v>
      </c>
      <c r="H118" s="205" t="str">
        <f t="shared" si="16"/>
        <v>TAK</v>
      </c>
    </row>
    <row r="119" spans="1:9" s="64" customFormat="1" ht="24" outlineLevel="2">
      <c r="A119" s="232"/>
      <c r="B119" s="225"/>
      <c r="C119" s="273" t="s">
        <v>213</v>
      </c>
      <c r="D119" s="66" t="s">
        <v>319</v>
      </c>
      <c r="E119" s="208" t="s">
        <v>28</v>
      </c>
      <c r="F119" s="204" t="s">
        <v>28</v>
      </c>
      <c r="G119" s="204" t="str">
        <f t="shared" ref="G119:H119" si="17">IF(G91=0,"TAK","BŁĄD")</f>
        <v>TAK</v>
      </c>
      <c r="H119" s="204" t="str">
        <f t="shared" si="17"/>
        <v>TAK</v>
      </c>
    </row>
    <row r="120" spans="1:9" s="64" customFormat="1" outlineLevel="1">
      <c r="A120" s="232"/>
      <c r="B120" s="225"/>
      <c r="C120" s="273" t="s">
        <v>214</v>
      </c>
      <c r="D120" s="67" t="s">
        <v>261</v>
      </c>
      <c r="E120" s="212" t="str">
        <f>IF(ROUND(E3+E25-E14-E34,2)=0,"OK",ROUND(E3+E25-E14-E34,2))</f>
        <v>OK</v>
      </c>
      <c r="F120" s="213" t="str">
        <f>IF(ROUND(F3+F25-F14-F34,2)=0,"OK",ROUND(F3+F25-F14-F34,2))</f>
        <v>OK</v>
      </c>
      <c r="G120" s="213">
        <f>IF(ROUND(G3+G25-G14-G34,2)=0,"OK",ROUND(G3+G25-G14-G34,2))</f>
        <v>567527.57999999996</v>
      </c>
      <c r="H120" s="213">
        <f>IF(ROUND(H3+H25-H14-H34,2)=0,"OK",ROUND(H3+H25-H14-H34,2))</f>
        <v>62.22</v>
      </c>
    </row>
    <row r="121" spans="1:9" s="64" customFormat="1" outlineLevel="2">
      <c r="A121" s="232"/>
      <c r="B121" s="229"/>
      <c r="C121" s="233" t="s">
        <v>339</v>
      </c>
      <c r="D121" s="67" t="s">
        <v>262</v>
      </c>
      <c r="E121" s="212" t="e">
        <f>+IF(ROUND(#REF!+E30-E35+(E98-#REF!)+E103-E41,2)=0,"OK",ROUND(#REF!+E30-E35+(E98-#REF!)+E103-E41,2))</f>
        <v>#REF!</v>
      </c>
      <c r="F121" s="213">
        <f t="shared" ref="F121:H121" si="18">+IF(ROUND(E41+F30-F35+(F98-E98)+F103-F41,2)=0,"OK",ROUND(E41+F30-F35+(F98-E98)+F103-F41,2))</f>
        <v>1101672.28</v>
      </c>
      <c r="G121" s="213">
        <f t="shared" si="18"/>
        <v>397213</v>
      </c>
      <c r="H121" s="213" t="e">
        <f t="shared" si="18"/>
        <v>#VALUE!</v>
      </c>
    </row>
    <row r="122" spans="1:9" s="64" customFormat="1" ht="48" outlineLevel="2">
      <c r="A122" s="232"/>
      <c r="B122" s="229"/>
      <c r="C122" s="233" t="s">
        <v>340</v>
      </c>
      <c r="D122" s="67" t="s">
        <v>348</v>
      </c>
      <c r="E122" s="213" t="e">
        <f>+IF(#REF!=0,"N/D",IF(ROUND(E98+E99-#REF!,2)=0,"OK",ROUND(E98+E99-#REF!,2)))</f>
        <v>#REF!</v>
      </c>
      <c r="F122" s="213" t="str">
        <f t="shared" ref="F122:H122" si="19">+IF(E98=0,"N/D",IF(ROUND(F98+F99-E98,2)=0,"OK",ROUND(F98+F99-E98,2)))</f>
        <v>N/D</v>
      </c>
      <c r="G122" s="213" t="str">
        <f t="shared" si="19"/>
        <v>N/D</v>
      </c>
      <c r="H122" s="213" t="str">
        <f t="shared" si="19"/>
        <v>N/D</v>
      </c>
    </row>
    <row r="123" spans="1:9" s="64" customFormat="1" ht="36" outlineLevel="2">
      <c r="A123" s="232"/>
      <c r="B123" s="229"/>
      <c r="C123" s="233" t="s">
        <v>342</v>
      </c>
      <c r="D123" s="67" t="s">
        <v>341</v>
      </c>
      <c r="E123" s="212" t="e">
        <f>+IF(#REF!=0,"N/D",IF(ROUND(E89+(E91+E92+E93+E94)-#REF!,2)=0,"OK",ROUND(E89+(E91+E92+E93+E94)-#REF!,2)))</f>
        <v>#REF!</v>
      </c>
      <c r="F123" s="213" t="str">
        <f t="shared" ref="F123:H123" si="20">+IF(E89=0,"N/D",IF(ROUND(F89+(F91+F92+F93+F94)-E89,2)=0,"OK",ROUND(F89+(F91+F92+F93+F94)-E89,2)))</f>
        <v>N/D</v>
      </c>
      <c r="G123" s="213" t="str">
        <f t="shared" si="20"/>
        <v>N/D</v>
      </c>
      <c r="H123" s="213" t="str">
        <f t="shared" si="20"/>
        <v>N/D</v>
      </c>
    </row>
    <row r="124" spans="1:9" s="64" customFormat="1" outlineLevel="1">
      <c r="A124" s="232"/>
      <c r="B124" s="225"/>
      <c r="C124" s="273" t="s">
        <v>216</v>
      </c>
      <c r="D124" s="68" t="s">
        <v>263</v>
      </c>
      <c r="E124" s="210" t="str">
        <f t="shared" ref="E124:H124" si="21">IF(E24&lt;0,IF(ROUND(E27+E29+E31+E33+E24,2)=0,"OK",ROUND(E27+E29+E31+E33+E24,2)),"N/D")</f>
        <v>OK</v>
      </c>
      <c r="F124" s="211" t="str">
        <f t="shared" si="21"/>
        <v>OK</v>
      </c>
      <c r="G124" s="211" t="str">
        <f t="shared" si="21"/>
        <v>N/D</v>
      </c>
      <c r="H124" s="211" t="str">
        <f t="shared" si="21"/>
        <v>N/D</v>
      </c>
    </row>
    <row r="125" spans="1:9" s="64" customFormat="1" outlineLevel="2">
      <c r="A125" s="232"/>
      <c r="B125" s="225"/>
      <c r="C125" s="273" t="s">
        <v>217</v>
      </c>
      <c r="D125" s="68" t="s">
        <v>264</v>
      </c>
      <c r="E125" s="210" t="str">
        <f t="shared" ref="E125:H125" si="22">IF(E24&gt;=0,IF(ROUND(E27+E29+E31+E33,2)=0,"OK",ROUND(E27+E29+E31+E33,2)),"N/D")</f>
        <v>N/D</v>
      </c>
      <c r="F125" s="211" t="str">
        <f t="shared" si="22"/>
        <v>N/D</v>
      </c>
      <c r="G125" s="211" t="str">
        <f t="shared" si="22"/>
        <v>OK</v>
      </c>
      <c r="H125" s="211" t="str">
        <f t="shared" si="22"/>
        <v>OK</v>
      </c>
    </row>
    <row r="126" spans="1:9" s="64" customFormat="1" outlineLevel="2">
      <c r="A126" s="232"/>
      <c r="B126" s="225"/>
      <c r="C126" s="273" t="s">
        <v>218</v>
      </c>
      <c r="D126" s="68" t="s">
        <v>266</v>
      </c>
      <c r="E126" s="208" t="str">
        <f t="shared" ref="E126:H126" si="23">IF(E7&gt;=E8,"OK","BŁĄD")</f>
        <v>OK</v>
      </c>
      <c r="F126" s="204" t="str">
        <f t="shared" si="23"/>
        <v>OK</v>
      </c>
      <c r="G126" s="204" t="str">
        <f t="shared" si="23"/>
        <v>OK</v>
      </c>
      <c r="H126" s="204" t="str">
        <f t="shared" si="23"/>
        <v>BŁĄD</v>
      </c>
    </row>
    <row r="127" spans="1:9" s="64" customFormat="1" outlineLevel="2">
      <c r="A127" s="232"/>
      <c r="B127" s="225"/>
      <c r="C127" s="273" t="s">
        <v>219</v>
      </c>
      <c r="D127" s="68" t="s">
        <v>267</v>
      </c>
      <c r="E127" s="208" t="str">
        <f t="shared" ref="E127:H127" si="24">IF(E10&gt;=E90,"OK","BŁĄD")</f>
        <v>OK</v>
      </c>
      <c r="F127" s="204" t="str">
        <f t="shared" si="24"/>
        <v>OK</v>
      </c>
      <c r="G127" s="204" t="str">
        <f t="shared" si="24"/>
        <v>OK</v>
      </c>
      <c r="H127" s="204" t="str">
        <f t="shared" si="24"/>
        <v>OK</v>
      </c>
    </row>
    <row r="128" spans="1:9" s="64" customFormat="1" outlineLevel="2">
      <c r="A128" s="232"/>
      <c r="B128" s="225"/>
      <c r="C128" s="273" t="s">
        <v>220</v>
      </c>
      <c r="D128" s="68" t="s">
        <v>268</v>
      </c>
      <c r="E128" s="208" t="str">
        <f t="shared" ref="E128:H128" si="25">IF(E4&gt;=E5+E6+E7+E9+E10,"OK","BŁĄD")</f>
        <v>OK</v>
      </c>
      <c r="F128" s="204" t="str">
        <f t="shared" si="25"/>
        <v>OK</v>
      </c>
      <c r="G128" s="204" t="str">
        <f t="shared" si="25"/>
        <v>OK</v>
      </c>
      <c r="H128" s="204" t="str">
        <f t="shared" si="25"/>
        <v>BŁĄD</v>
      </c>
    </row>
    <row r="129" spans="1:8" s="64" customFormat="1" outlineLevel="2">
      <c r="A129" s="232"/>
      <c r="B129" s="225"/>
      <c r="C129" s="273" t="s">
        <v>221</v>
      </c>
      <c r="D129" s="68" t="s">
        <v>269</v>
      </c>
      <c r="E129" s="208" t="str">
        <f t="shared" ref="E129:H129" si="26">IF(E4&gt;=E68,"OK","BŁĄD")</f>
        <v>OK</v>
      </c>
      <c r="F129" s="204" t="str">
        <f t="shared" si="26"/>
        <v>OK</v>
      </c>
      <c r="G129" s="204" t="str">
        <f t="shared" si="26"/>
        <v>OK</v>
      </c>
      <c r="H129" s="204" t="str">
        <f t="shared" si="26"/>
        <v>OK</v>
      </c>
    </row>
    <row r="130" spans="1:8" s="64" customFormat="1" outlineLevel="2">
      <c r="A130" s="232"/>
      <c r="B130" s="225"/>
      <c r="C130" s="273" t="s">
        <v>222</v>
      </c>
      <c r="D130" s="68" t="s">
        <v>270</v>
      </c>
      <c r="E130" s="208" t="str">
        <f t="shared" ref="E130:H130" si="27">IF(E11&gt;=E12,"OK","BŁĄD")</f>
        <v>OK</v>
      </c>
      <c r="F130" s="204" t="str">
        <f t="shared" si="27"/>
        <v>OK</v>
      </c>
      <c r="G130" s="204" t="str">
        <f t="shared" si="27"/>
        <v>OK</v>
      </c>
      <c r="H130" s="204" t="str">
        <f t="shared" si="27"/>
        <v>OK</v>
      </c>
    </row>
    <row r="131" spans="1:8" s="64" customFormat="1" outlineLevel="2">
      <c r="A131" s="232"/>
      <c r="B131" s="225"/>
      <c r="C131" s="273" t="s">
        <v>223</v>
      </c>
      <c r="D131" s="68" t="s">
        <v>271</v>
      </c>
      <c r="E131" s="208" t="str">
        <f t="shared" ref="E131:H131" si="28">IF(E11&gt;=E13,"OK","BŁĄD")</f>
        <v>OK</v>
      </c>
      <c r="F131" s="204" t="str">
        <f t="shared" si="28"/>
        <v>OK</v>
      </c>
      <c r="G131" s="204" t="str">
        <f t="shared" si="28"/>
        <v>OK</v>
      </c>
      <c r="H131" s="204" t="str">
        <f t="shared" si="28"/>
        <v>BŁĄD</v>
      </c>
    </row>
    <row r="132" spans="1:8" s="64" customFormat="1" outlineLevel="2">
      <c r="A132" s="232"/>
      <c r="B132" s="225"/>
      <c r="C132" s="273" t="s">
        <v>224</v>
      </c>
      <c r="D132" s="68" t="s">
        <v>272</v>
      </c>
      <c r="E132" s="208" t="str">
        <f t="shared" ref="E132:H132" si="29">IF(E11&gt;=E71,"OK","BŁĄD")</f>
        <v>OK</v>
      </c>
      <c r="F132" s="204" t="str">
        <f t="shared" si="29"/>
        <v>OK</v>
      </c>
      <c r="G132" s="204" t="str">
        <f t="shared" si="29"/>
        <v>OK</v>
      </c>
      <c r="H132" s="204" t="str">
        <f t="shared" si="29"/>
        <v>BŁĄD</v>
      </c>
    </row>
    <row r="133" spans="1:8" s="268" customFormat="1" outlineLevel="2">
      <c r="A133" s="274"/>
      <c r="B133" s="272"/>
      <c r="C133" s="273"/>
      <c r="D133" s="270" t="s">
        <v>352</v>
      </c>
      <c r="E133" s="208" t="str">
        <f t="shared" ref="E133:H133" si="30">+IF(E24&gt;0,IF(E24=E56,"OK","Błąd"),"N/D")</f>
        <v>N/D</v>
      </c>
      <c r="F133" s="208" t="str">
        <f t="shared" si="30"/>
        <v>N/D</v>
      </c>
      <c r="G133" s="208" t="str">
        <f t="shared" si="30"/>
        <v>Błąd</v>
      </c>
      <c r="H133" s="208" t="str">
        <f t="shared" si="30"/>
        <v>OK</v>
      </c>
    </row>
    <row r="134" spans="1:8" s="64" customFormat="1" outlineLevel="2">
      <c r="A134" s="232"/>
      <c r="B134" s="225"/>
      <c r="C134" s="273" t="s">
        <v>225</v>
      </c>
      <c r="D134" s="68" t="s">
        <v>273</v>
      </c>
      <c r="E134" s="208" t="str">
        <f t="shared" ref="E134:H134" si="31">IF(E56&gt;=E57,"OK","BŁĄD")</f>
        <v>OK</v>
      </c>
      <c r="F134" s="204" t="str">
        <f t="shared" si="31"/>
        <v>OK</v>
      </c>
      <c r="G134" s="204" t="str">
        <f t="shared" si="31"/>
        <v>OK</v>
      </c>
      <c r="H134" s="204" t="str">
        <f t="shared" si="31"/>
        <v>OK</v>
      </c>
    </row>
    <row r="135" spans="1:8" s="64" customFormat="1" outlineLevel="2">
      <c r="A135" s="232"/>
      <c r="B135" s="221"/>
      <c r="C135" s="273" t="s">
        <v>351</v>
      </c>
      <c r="D135" s="68" t="s">
        <v>350</v>
      </c>
      <c r="E135" s="208" t="str">
        <f t="shared" ref="E135:H135" si="32">IF(E56&gt;0,IF(E57&gt;0,"OK","BŁĄD"),"N/D")</f>
        <v>N/D</v>
      </c>
      <c r="F135" s="204" t="str">
        <f t="shared" si="32"/>
        <v>N/D</v>
      </c>
      <c r="G135" s="204" t="str">
        <f t="shared" si="32"/>
        <v>N/D</v>
      </c>
      <c r="H135" s="204" t="str">
        <f t="shared" si="32"/>
        <v>OK</v>
      </c>
    </row>
    <row r="136" spans="1:8" s="64" customFormat="1" outlineLevel="2">
      <c r="A136" s="232"/>
      <c r="B136" s="225"/>
      <c r="C136" s="273" t="s">
        <v>227</v>
      </c>
      <c r="D136" s="68" t="s">
        <v>275</v>
      </c>
      <c r="E136" s="208" t="str">
        <f t="shared" ref="E136:H136" si="33">IF(E68&gt;=E69,"OK","BŁĄD")</f>
        <v>OK</v>
      </c>
      <c r="F136" s="204" t="str">
        <f t="shared" si="33"/>
        <v>OK</v>
      </c>
      <c r="G136" s="204" t="str">
        <f t="shared" si="33"/>
        <v>OK</v>
      </c>
      <c r="H136" s="204" t="str">
        <f t="shared" si="33"/>
        <v>OK</v>
      </c>
    </row>
    <row r="137" spans="1:8" s="64" customFormat="1" outlineLevel="2">
      <c r="A137" s="232"/>
      <c r="B137" s="225"/>
      <c r="C137" s="273" t="s">
        <v>226</v>
      </c>
      <c r="D137" s="68" t="s">
        <v>274</v>
      </c>
      <c r="E137" s="208" t="str">
        <f t="shared" ref="E137:H137" si="34">IF(E69&gt;=E70,"OK","BŁĄD")</f>
        <v>OK</v>
      </c>
      <c r="F137" s="204" t="str">
        <f t="shared" si="34"/>
        <v>OK</v>
      </c>
      <c r="G137" s="204" t="str">
        <f t="shared" si="34"/>
        <v>OK</v>
      </c>
      <c r="H137" s="204" t="str">
        <f t="shared" si="34"/>
        <v>OK</v>
      </c>
    </row>
    <row r="138" spans="1:8" s="64" customFormat="1" outlineLevel="2">
      <c r="A138" s="232"/>
      <c r="B138" s="225"/>
      <c r="C138" s="273" t="s">
        <v>229</v>
      </c>
      <c r="D138" s="68" t="s">
        <v>277</v>
      </c>
      <c r="E138" s="208" t="str">
        <f t="shared" ref="E138:H138" si="35">IF(E71&gt;=E72,"OK","BŁĄD")</f>
        <v>OK</v>
      </c>
      <c r="F138" s="204" t="str">
        <f t="shared" si="35"/>
        <v>OK</v>
      </c>
      <c r="G138" s="204" t="str">
        <f t="shared" si="35"/>
        <v>OK</v>
      </c>
      <c r="H138" s="204" t="str">
        <f t="shared" si="35"/>
        <v>BŁĄD</v>
      </c>
    </row>
    <row r="139" spans="1:8" s="64" customFormat="1" outlineLevel="2">
      <c r="A139" s="232"/>
      <c r="B139" s="225"/>
      <c r="C139" s="273" t="s">
        <v>228</v>
      </c>
      <c r="D139" s="68" t="s">
        <v>276</v>
      </c>
      <c r="E139" s="208" t="str">
        <f t="shared" ref="E139:H139" si="36">IF(E72&gt;=E73,"OK","BŁĄD")</f>
        <v>OK</v>
      </c>
      <c r="F139" s="204" t="str">
        <f t="shared" si="36"/>
        <v>OK</v>
      </c>
      <c r="G139" s="204" t="str">
        <f t="shared" si="36"/>
        <v>OK</v>
      </c>
      <c r="H139" s="204" t="str">
        <f t="shared" si="36"/>
        <v>OK</v>
      </c>
    </row>
    <row r="140" spans="1:8" s="64" customFormat="1" outlineLevel="2">
      <c r="A140" s="232"/>
      <c r="B140" s="225"/>
      <c r="C140" s="273" t="s">
        <v>230</v>
      </c>
      <c r="D140" s="68" t="s">
        <v>278</v>
      </c>
      <c r="E140" s="208" t="str">
        <f t="shared" ref="E140:H140" si="37">IF(E74&gt;=E75,"OK","BŁĄD")</f>
        <v>OK</v>
      </c>
      <c r="F140" s="204" t="str">
        <f t="shared" si="37"/>
        <v>OK</v>
      </c>
      <c r="G140" s="204" t="str">
        <f t="shared" si="37"/>
        <v>OK</v>
      </c>
      <c r="H140" s="204" t="str">
        <f t="shared" si="37"/>
        <v>OK</v>
      </c>
    </row>
    <row r="141" spans="1:8" s="64" customFormat="1" outlineLevel="2">
      <c r="A141" s="232"/>
      <c r="B141" s="225"/>
      <c r="C141" s="273" t="s">
        <v>231</v>
      </c>
      <c r="D141" s="68" t="s">
        <v>279</v>
      </c>
      <c r="E141" s="208" t="str">
        <f t="shared" ref="E141:H141" si="38">IF(E74&gt;=E76,"OK","BŁĄD")</f>
        <v>OK</v>
      </c>
      <c r="F141" s="204" t="str">
        <f t="shared" si="38"/>
        <v>OK</v>
      </c>
      <c r="G141" s="204" t="str">
        <f t="shared" si="38"/>
        <v>OK</v>
      </c>
      <c r="H141" s="204" t="str">
        <f t="shared" si="38"/>
        <v>OK</v>
      </c>
    </row>
    <row r="142" spans="1:8" s="64" customFormat="1" outlineLevel="2">
      <c r="A142" s="232"/>
      <c r="B142" s="225"/>
      <c r="C142" s="273" t="s">
        <v>232</v>
      </c>
      <c r="D142" s="68" t="s">
        <v>280</v>
      </c>
      <c r="E142" s="208" t="str">
        <f t="shared" ref="E142:H142" si="39">IF(E77&gt;=E78,"OK","BŁĄD")</f>
        <v>OK</v>
      </c>
      <c r="F142" s="204" t="str">
        <f t="shared" si="39"/>
        <v>OK</v>
      </c>
      <c r="G142" s="204" t="str">
        <f t="shared" si="39"/>
        <v>OK</v>
      </c>
      <c r="H142" s="204" t="str">
        <f t="shared" si="39"/>
        <v>OK</v>
      </c>
    </row>
    <row r="143" spans="1:8" s="64" customFormat="1" outlineLevel="2">
      <c r="A143" s="232"/>
      <c r="B143" s="225"/>
      <c r="C143" s="273" t="s">
        <v>233</v>
      </c>
      <c r="D143" s="68" t="s">
        <v>281</v>
      </c>
      <c r="E143" s="208" t="str">
        <f t="shared" ref="E143:H143" si="40">IF(E77&gt;=E79,"OK","BŁĄD")</f>
        <v>OK</v>
      </c>
      <c r="F143" s="204" t="str">
        <f t="shared" si="40"/>
        <v>OK</v>
      </c>
      <c r="G143" s="204" t="str">
        <f t="shared" si="40"/>
        <v>OK</v>
      </c>
      <c r="H143" s="204" t="str">
        <f t="shared" si="40"/>
        <v>OK</v>
      </c>
    </row>
    <row r="144" spans="1:8" s="268" customFormat="1" outlineLevel="2">
      <c r="A144" s="274"/>
      <c r="B144" s="272"/>
      <c r="C144" s="273" t="s">
        <v>232</v>
      </c>
      <c r="D144" s="270" t="s">
        <v>420</v>
      </c>
      <c r="E144" s="208" t="str">
        <f>IF(E80&gt;=E81,"OK","BŁĄD")</f>
        <v>OK</v>
      </c>
      <c r="F144" s="204" t="str">
        <f t="shared" ref="F144:H144" si="41">IF(F80&gt;=F81,"OK","BŁĄD")</f>
        <v>OK</v>
      </c>
      <c r="G144" s="204" t="str">
        <f t="shared" si="41"/>
        <v>OK</v>
      </c>
      <c r="H144" s="204" t="str">
        <f t="shared" si="41"/>
        <v>OK</v>
      </c>
    </row>
    <row r="145" spans="1:8" s="268" customFormat="1" outlineLevel="2">
      <c r="A145" s="274"/>
      <c r="B145" s="272"/>
      <c r="C145" s="273" t="s">
        <v>232</v>
      </c>
      <c r="D145" s="270" t="s">
        <v>421</v>
      </c>
      <c r="E145" s="208" t="str">
        <f>IF(E82&gt;=E83,"OK","BŁĄD")</f>
        <v>OK</v>
      </c>
      <c r="F145" s="204" t="str">
        <f t="shared" ref="F145:H145" si="42">IF(F82&gt;=F83,"OK","BŁĄD")</f>
        <v>OK</v>
      </c>
      <c r="G145" s="204" t="str">
        <f t="shared" si="42"/>
        <v>OK</v>
      </c>
      <c r="H145" s="204" t="str">
        <f t="shared" si="42"/>
        <v>OK</v>
      </c>
    </row>
    <row r="146" spans="1:8" s="268" customFormat="1" outlineLevel="2">
      <c r="A146" s="274"/>
      <c r="B146" s="272"/>
      <c r="C146" s="273" t="s">
        <v>232</v>
      </c>
      <c r="D146" s="270" t="s">
        <v>422</v>
      </c>
      <c r="E146" s="208" t="str">
        <f>IF(E84&gt;=E85,"OK","BŁĄD")</f>
        <v>OK</v>
      </c>
      <c r="F146" s="204" t="str">
        <f t="shared" ref="F146:H146" si="43">IF(F84&gt;=F85,"OK","BŁĄD")</f>
        <v>OK</v>
      </c>
      <c r="G146" s="204" t="str">
        <f t="shared" si="43"/>
        <v>OK</v>
      </c>
      <c r="H146" s="204" t="str">
        <f t="shared" si="43"/>
        <v>OK</v>
      </c>
    </row>
    <row r="147" spans="1:8" s="268" customFormat="1" outlineLevel="2">
      <c r="A147" s="274"/>
      <c r="B147" s="272"/>
      <c r="C147" s="273" t="s">
        <v>232</v>
      </c>
      <c r="D147" s="270" t="s">
        <v>423</v>
      </c>
      <c r="E147" s="208" t="str">
        <f>IF(E86&gt;=E87,"OK","BŁĄD")</f>
        <v>OK</v>
      </c>
      <c r="F147" s="204" t="str">
        <f t="shared" ref="F147:H147" si="44">IF(F86&gt;=F87,"OK","BŁĄD")</f>
        <v>OK</v>
      </c>
      <c r="G147" s="204" t="str">
        <f t="shared" si="44"/>
        <v>OK</v>
      </c>
      <c r="H147" s="204" t="str">
        <f t="shared" si="44"/>
        <v>OK</v>
      </c>
    </row>
    <row r="148" spans="1:8" s="64" customFormat="1" outlineLevel="2">
      <c r="A148" s="232"/>
      <c r="B148" s="225"/>
      <c r="C148" s="273" t="s">
        <v>234</v>
      </c>
      <c r="D148" s="270" t="s">
        <v>282</v>
      </c>
      <c r="E148" s="208" t="str">
        <f t="shared" ref="E148:H148" si="45">IF(E89&gt;=E91,"OK","BŁĄD")</f>
        <v>OK</v>
      </c>
      <c r="F148" s="204" t="str">
        <f t="shared" si="45"/>
        <v>OK</v>
      </c>
      <c r="G148" s="204" t="str">
        <f t="shared" si="45"/>
        <v>OK</v>
      </c>
      <c r="H148" s="204" t="str">
        <f t="shared" si="45"/>
        <v>OK</v>
      </c>
    </row>
    <row r="149" spans="1:8" s="64" customFormat="1" outlineLevel="2">
      <c r="A149" s="232"/>
      <c r="B149" s="225"/>
      <c r="C149" s="273" t="s">
        <v>235</v>
      </c>
      <c r="D149" s="68" t="s">
        <v>283</v>
      </c>
      <c r="E149" s="208" t="str">
        <f t="shared" ref="E149:H149" si="46">IF(E92&gt;=E18,"OK","BŁĄD")</f>
        <v>OK</v>
      </c>
      <c r="F149" s="204" t="str">
        <f t="shared" si="46"/>
        <v>OK</v>
      </c>
      <c r="G149" s="204" t="str">
        <f t="shared" si="46"/>
        <v>OK</v>
      </c>
      <c r="H149" s="204" t="str">
        <f t="shared" si="46"/>
        <v>OK</v>
      </c>
    </row>
    <row r="150" spans="1:8" s="64" customFormat="1" outlineLevel="2">
      <c r="A150" s="232"/>
      <c r="B150" s="225"/>
      <c r="C150" s="273" t="s">
        <v>236</v>
      </c>
      <c r="D150" s="68" t="s">
        <v>284</v>
      </c>
      <c r="E150" s="208" t="str">
        <f t="shared" ref="E150:H150" si="47">IF(E99&gt;=(E100+E101+E102),"OK","BŁĄD")</f>
        <v>OK</v>
      </c>
      <c r="F150" s="204" t="str">
        <f t="shared" si="47"/>
        <v>OK</v>
      </c>
      <c r="G150" s="204" t="str">
        <f t="shared" si="47"/>
        <v>OK</v>
      </c>
      <c r="H150" s="204" t="str">
        <f t="shared" si="47"/>
        <v>OK</v>
      </c>
    </row>
    <row r="151" spans="1:8" s="268" customFormat="1" outlineLevel="2">
      <c r="A151" s="274"/>
      <c r="B151" s="272"/>
      <c r="C151" s="273" t="s">
        <v>234</v>
      </c>
      <c r="D151" s="270" t="s">
        <v>425</v>
      </c>
      <c r="E151" s="208" t="str">
        <f>IF(E105&gt;=E106,"OK","BŁĄD")</f>
        <v>OK</v>
      </c>
      <c r="F151" s="204" t="str">
        <f t="shared" ref="F151:H151" si="48">IF(F105&gt;=F106,"OK","BŁĄD")</f>
        <v>OK</v>
      </c>
      <c r="G151" s="204" t="str">
        <f t="shared" si="48"/>
        <v>OK</v>
      </c>
      <c r="H151" s="204" t="str">
        <f t="shared" si="48"/>
        <v>OK</v>
      </c>
    </row>
    <row r="152" spans="1:8" s="64" customFormat="1" outlineLevel="2">
      <c r="A152" s="232"/>
      <c r="B152" s="225"/>
      <c r="C152" s="273" t="s">
        <v>238</v>
      </c>
      <c r="D152" s="68" t="s">
        <v>286</v>
      </c>
      <c r="E152" s="208" t="str">
        <f t="shared" ref="E152:H152" si="49">IF(E16&gt;=E17,"OK","BŁĄD")</f>
        <v>OK</v>
      </c>
      <c r="F152" s="204" t="str">
        <f t="shared" si="49"/>
        <v>OK</v>
      </c>
      <c r="G152" s="204" t="str">
        <f t="shared" si="49"/>
        <v>OK</v>
      </c>
      <c r="H152" s="204" t="str">
        <f t="shared" si="49"/>
        <v>OK</v>
      </c>
    </row>
    <row r="153" spans="1:8" s="64" customFormat="1" outlineLevel="2">
      <c r="A153" s="232"/>
      <c r="B153" s="225"/>
      <c r="C153" s="273" t="s">
        <v>237</v>
      </c>
      <c r="D153" s="68" t="s">
        <v>285</v>
      </c>
      <c r="E153" s="208" t="str">
        <f t="shared" ref="E153:H153" si="50">IF(E16&gt;=E102,"OK","BŁĄD")</f>
        <v>OK</v>
      </c>
      <c r="F153" s="204" t="str">
        <f t="shared" si="50"/>
        <v>OK</v>
      </c>
      <c r="G153" s="204" t="str">
        <f t="shared" si="50"/>
        <v>OK</v>
      </c>
      <c r="H153" s="204" t="str">
        <f t="shared" si="50"/>
        <v>OK</v>
      </c>
    </row>
    <row r="154" spans="1:8" s="64" customFormat="1" outlineLevel="2">
      <c r="A154" s="232"/>
      <c r="B154" s="225"/>
      <c r="C154" s="273" t="s">
        <v>239</v>
      </c>
      <c r="D154" s="68" t="s">
        <v>287</v>
      </c>
      <c r="E154" s="208" t="str">
        <f t="shared" ref="E154:H154" si="51">IF(E19&gt;=E20,"OK","BŁĄD")</f>
        <v>OK</v>
      </c>
      <c r="F154" s="204" t="str">
        <f t="shared" si="51"/>
        <v>OK</v>
      </c>
      <c r="G154" s="204" t="str">
        <f t="shared" si="51"/>
        <v>OK</v>
      </c>
      <c r="H154" s="204" t="str">
        <f t="shared" si="51"/>
        <v>OK</v>
      </c>
    </row>
    <row r="155" spans="1:8" s="268" customFormat="1" outlineLevel="2">
      <c r="A155" s="274"/>
      <c r="B155" s="272"/>
      <c r="C155" s="273" t="s">
        <v>239</v>
      </c>
      <c r="D155" s="270" t="s">
        <v>424</v>
      </c>
      <c r="E155" s="208" t="str">
        <f>IF(E20&gt;=(E21+E22),"OK","BŁĄD")</f>
        <v>OK</v>
      </c>
      <c r="F155" s="204" t="str">
        <f t="shared" ref="F155:H155" si="52">IF(F20&gt;=F21,"OK","BŁĄD")</f>
        <v>OK</v>
      </c>
      <c r="G155" s="204" t="str">
        <f t="shared" si="52"/>
        <v>OK</v>
      </c>
      <c r="H155" s="204" t="str">
        <f t="shared" si="52"/>
        <v>OK</v>
      </c>
    </row>
    <row r="156" spans="1:8" s="64" customFormat="1" outlineLevel="2">
      <c r="A156" s="232"/>
      <c r="B156" s="225"/>
      <c r="C156" s="273" t="s">
        <v>240</v>
      </c>
      <c r="D156" s="68" t="s">
        <v>288</v>
      </c>
      <c r="E156" s="208" t="str">
        <f t="shared" ref="E156:H156" si="53">IF(E15&gt;=(E16+E18+E19),"OK","BŁĄD")</f>
        <v>OK</v>
      </c>
      <c r="F156" s="204" t="str">
        <f t="shared" si="53"/>
        <v>OK</v>
      </c>
      <c r="G156" s="204" t="str">
        <f t="shared" si="53"/>
        <v>OK</v>
      </c>
      <c r="H156" s="204" t="str">
        <f t="shared" si="53"/>
        <v>OK</v>
      </c>
    </row>
    <row r="157" spans="1:8" s="64" customFormat="1" outlineLevel="2">
      <c r="A157" s="232"/>
      <c r="B157" s="225"/>
      <c r="C157" s="273" t="s">
        <v>241</v>
      </c>
      <c r="D157" s="68" t="s">
        <v>289</v>
      </c>
      <c r="E157" s="208" t="str">
        <f t="shared" ref="E157:H157" si="54">IF(E15&gt;=E59,"OK","BŁĄD")</f>
        <v>OK</v>
      </c>
      <c r="F157" s="204" t="str">
        <f t="shared" si="54"/>
        <v>OK</v>
      </c>
      <c r="G157" s="204" t="str">
        <f t="shared" si="54"/>
        <v>OK</v>
      </c>
      <c r="H157" s="204" t="str">
        <f t="shared" si="54"/>
        <v>BŁĄD</v>
      </c>
    </row>
    <row r="158" spans="1:8" s="64" customFormat="1" outlineLevel="2">
      <c r="A158" s="232"/>
      <c r="B158" s="225"/>
      <c r="C158" s="273" t="s">
        <v>242</v>
      </c>
      <c r="D158" s="68" t="s">
        <v>290</v>
      </c>
      <c r="E158" s="208" t="str">
        <f t="shared" ref="E158:H158" si="55">IF(E15&gt;=E62,"OK","BŁĄD")</f>
        <v>OK</v>
      </c>
      <c r="F158" s="204" t="str">
        <f t="shared" si="55"/>
        <v>OK</v>
      </c>
      <c r="G158" s="204" t="str">
        <f t="shared" si="55"/>
        <v>OK</v>
      </c>
      <c r="H158" s="204" t="str">
        <f t="shared" si="55"/>
        <v>OK</v>
      </c>
    </row>
    <row r="159" spans="1:8" s="64" customFormat="1" outlineLevel="2">
      <c r="A159" s="232"/>
      <c r="B159" s="225"/>
      <c r="C159" s="273" t="s">
        <v>243</v>
      </c>
      <c r="D159" s="68" t="s">
        <v>291</v>
      </c>
      <c r="E159" s="208" t="str">
        <f t="shared" ref="E159:H159" si="56">IF(E15&gt;=E74,"OK","BŁĄD")</f>
        <v>OK</v>
      </c>
      <c r="F159" s="204" t="str">
        <f t="shared" si="56"/>
        <v>OK</v>
      </c>
      <c r="G159" s="204" t="str">
        <f t="shared" si="56"/>
        <v>OK</v>
      </c>
      <c r="H159" s="204" t="str">
        <f t="shared" si="56"/>
        <v>OK</v>
      </c>
    </row>
    <row r="160" spans="1:8" s="64" customFormat="1" outlineLevel="2">
      <c r="A160" s="232"/>
      <c r="B160" s="225"/>
      <c r="C160" s="273" t="s">
        <v>244</v>
      </c>
      <c r="D160" s="68" t="s">
        <v>292</v>
      </c>
      <c r="E160" s="208" t="str">
        <f t="shared" ref="E160:H160" si="57">IF(E15&gt;=E95,"OK","BŁĄD")</f>
        <v>OK</v>
      </c>
      <c r="F160" s="204" t="str">
        <f t="shared" si="57"/>
        <v>OK</v>
      </c>
      <c r="G160" s="204" t="str">
        <f t="shared" si="57"/>
        <v>OK</v>
      </c>
      <c r="H160" s="204" t="str">
        <f t="shared" si="57"/>
        <v>OK</v>
      </c>
    </row>
    <row r="161" spans="1:8" s="64" customFormat="1" outlineLevel="2">
      <c r="A161" s="232"/>
      <c r="B161" s="225"/>
      <c r="C161" s="273" t="s">
        <v>245</v>
      </c>
      <c r="D161" s="68" t="s">
        <v>293</v>
      </c>
      <c r="E161" s="208" t="str">
        <f t="shared" ref="E161:H161" si="58">IF(E23&gt;=E63,"OK","BŁĄD")</f>
        <v>OK</v>
      </c>
      <c r="F161" s="204" t="str">
        <f t="shared" si="58"/>
        <v>OK</v>
      </c>
      <c r="G161" s="204" t="str">
        <f t="shared" si="58"/>
        <v>OK</v>
      </c>
      <c r="H161" s="204" t="str">
        <f t="shared" si="58"/>
        <v>OK</v>
      </c>
    </row>
    <row r="162" spans="1:8" s="64" customFormat="1" outlineLevel="2">
      <c r="A162" s="232"/>
      <c r="B162" s="225"/>
      <c r="C162" s="273" t="s">
        <v>246</v>
      </c>
      <c r="D162" s="68" t="s">
        <v>294</v>
      </c>
      <c r="E162" s="208" t="str">
        <f t="shared" ref="E162:H162" si="59">IF(E23&gt;=E64+E65,"OK","BŁĄD")</f>
        <v>OK</v>
      </c>
      <c r="F162" s="204" t="str">
        <f t="shared" si="59"/>
        <v>OK</v>
      </c>
      <c r="G162" s="204" t="str">
        <f t="shared" si="59"/>
        <v>OK</v>
      </c>
      <c r="H162" s="204" t="str">
        <f t="shared" si="59"/>
        <v>BŁĄD</v>
      </c>
    </row>
    <row r="163" spans="1:8" s="64" customFormat="1" outlineLevel="2">
      <c r="A163" s="232"/>
      <c r="B163" s="225"/>
      <c r="C163" s="273" t="s">
        <v>247</v>
      </c>
      <c r="D163" s="68" t="s">
        <v>295</v>
      </c>
      <c r="E163" s="208" t="str">
        <f t="shared" ref="E163:H163" si="60">IF(E23&gt;=E66,"OK","BŁĄD")</f>
        <v>OK</v>
      </c>
      <c r="F163" s="204" t="str">
        <f t="shared" si="60"/>
        <v>OK</v>
      </c>
      <c r="G163" s="204" t="str">
        <f t="shared" si="60"/>
        <v>OK</v>
      </c>
      <c r="H163" s="204" t="str">
        <f t="shared" si="60"/>
        <v>OK</v>
      </c>
    </row>
    <row r="164" spans="1:8" s="64" customFormat="1" outlineLevel="2">
      <c r="A164" s="232"/>
      <c r="B164" s="225"/>
      <c r="C164" s="273" t="s">
        <v>248</v>
      </c>
      <c r="D164" s="68" t="s">
        <v>296</v>
      </c>
      <c r="E164" s="208" t="str">
        <f t="shared" ref="E164:H164" si="61">IF(E23&gt;=E77,"OK","BŁĄD")</f>
        <v>OK</v>
      </c>
      <c r="F164" s="204" t="str">
        <f t="shared" si="61"/>
        <v>OK</v>
      </c>
      <c r="G164" s="204" t="str">
        <f t="shared" si="61"/>
        <v>OK</v>
      </c>
      <c r="H164" s="204" t="str">
        <f t="shared" si="61"/>
        <v>BŁĄD</v>
      </c>
    </row>
    <row r="165" spans="1:8" s="64" customFormat="1" outlineLevel="2">
      <c r="A165" s="232"/>
      <c r="B165" s="225"/>
      <c r="C165" s="273" t="s">
        <v>249</v>
      </c>
      <c r="D165" s="68" t="s">
        <v>297</v>
      </c>
      <c r="E165" s="208" t="str">
        <f t="shared" ref="E165:H165" si="62">IF(E26&gt;=E27,"OK","BŁĄD")</f>
        <v>OK</v>
      </c>
      <c r="F165" s="204" t="str">
        <f t="shared" si="62"/>
        <v>OK</v>
      </c>
      <c r="G165" s="204" t="str">
        <f t="shared" si="62"/>
        <v>OK</v>
      </c>
      <c r="H165" s="204" t="str">
        <f t="shared" si="62"/>
        <v>OK</v>
      </c>
    </row>
    <row r="166" spans="1:8" s="64" customFormat="1" outlineLevel="2">
      <c r="A166" s="232"/>
      <c r="B166" s="225"/>
      <c r="C166" s="273" t="s">
        <v>250</v>
      </c>
      <c r="D166" s="68" t="s">
        <v>298</v>
      </c>
      <c r="E166" s="208" t="str">
        <f t="shared" ref="E166:H166" si="63">IF(E28&gt;=E29,"OK","BŁĄD")</f>
        <v>OK</v>
      </c>
      <c r="F166" s="204" t="str">
        <f t="shared" si="63"/>
        <v>OK</v>
      </c>
      <c r="G166" s="204" t="str">
        <f t="shared" si="63"/>
        <v>OK</v>
      </c>
      <c r="H166" s="204" t="str">
        <f t="shared" si="63"/>
        <v>OK</v>
      </c>
    </row>
    <row r="167" spans="1:8" s="64" customFormat="1" outlineLevel="2">
      <c r="A167" s="232"/>
      <c r="B167" s="225"/>
      <c r="C167" s="273" t="s">
        <v>251</v>
      </c>
      <c r="D167" s="68" t="s">
        <v>299</v>
      </c>
      <c r="E167" s="208" t="str">
        <f t="shared" ref="E167:H167" si="64">IF(E30&gt;=E31,"OK","BŁĄD")</f>
        <v>OK</v>
      </c>
      <c r="F167" s="204" t="str">
        <f t="shared" si="64"/>
        <v>OK</v>
      </c>
      <c r="G167" s="204" t="str">
        <f t="shared" si="64"/>
        <v>OK</v>
      </c>
      <c r="H167" s="204" t="str">
        <f t="shared" si="64"/>
        <v>OK</v>
      </c>
    </row>
    <row r="168" spans="1:8" s="64" customFormat="1" outlineLevel="2">
      <c r="A168" s="232"/>
      <c r="B168" s="225"/>
      <c r="C168" s="273" t="s">
        <v>252</v>
      </c>
      <c r="D168" s="68" t="s">
        <v>300</v>
      </c>
      <c r="E168" s="208" t="str">
        <f t="shared" ref="E168:H168" si="65">IF(E32&gt;=E33,"OK","BŁĄD")</f>
        <v>OK</v>
      </c>
      <c r="F168" s="204" t="str">
        <f t="shared" si="65"/>
        <v>OK</v>
      </c>
      <c r="G168" s="204" t="str">
        <f t="shared" si="65"/>
        <v>OK</v>
      </c>
      <c r="H168" s="204" t="str">
        <f t="shared" si="65"/>
        <v>OK</v>
      </c>
    </row>
    <row r="169" spans="1:8" s="64" customFormat="1" outlineLevel="2">
      <c r="A169" s="232"/>
      <c r="B169" s="225"/>
      <c r="C169" s="273" t="s">
        <v>255</v>
      </c>
      <c r="D169" s="68" t="s">
        <v>303</v>
      </c>
      <c r="E169" s="208" t="str">
        <f t="shared" ref="E169:H169" si="66">IF(E35&gt;=E36,"OK","BŁĄD")</f>
        <v>OK</v>
      </c>
      <c r="F169" s="204" t="str">
        <f t="shared" si="66"/>
        <v>OK</v>
      </c>
      <c r="G169" s="204" t="str">
        <f t="shared" si="66"/>
        <v>OK</v>
      </c>
      <c r="H169" s="204" t="str">
        <f t="shared" si="66"/>
        <v>OK</v>
      </c>
    </row>
    <row r="170" spans="1:8" s="64" customFormat="1" outlineLevel="2">
      <c r="A170" s="232"/>
      <c r="B170" s="225"/>
      <c r="C170" s="273" t="s">
        <v>253</v>
      </c>
      <c r="D170" s="68" t="s">
        <v>301</v>
      </c>
      <c r="E170" s="208" t="str">
        <f t="shared" ref="E170:H170" si="67">IF(E35&gt;=E57,"OK","BŁĄD")</f>
        <v>OK</v>
      </c>
      <c r="F170" s="204" t="str">
        <f t="shared" si="67"/>
        <v>OK</v>
      </c>
      <c r="G170" s="204" t="str">
        <f t="shared" si="67"/>
        <v>OK</v>
      </c>
      <c r="H170" s="204" t="str">
        <f t="shared" si="67"/>
        <v>BŁĄD</v>
      </c>
    </row>
    <row r="171" spans="1:8" s="64" customFormat="1" outlineLevel="2">
      <c r="A171" s="232"/>
      <c r="B171" s="225"/>
      <c r="C171" s="273" t="s">
        <v>254</v>
      </c>
      <c r="D171" s="68" t="s">
        <v>302</v>
      </c>
      <c r="E171" s="208" t="str">
        <f t="shared" ref="E171:H171" si="68">IF(E35&gt;=E97,"OK","BŁĄD")</f>
        <v>OK</v>
      </c>
      <c r="F171" s="204" t="str">
        <f t="shared" si="68"/>
        <v>OK</v>
      </c>
      <c r="G171" s="204" t="str">
        <f t="shared" si="68"/>
        <v>OK</v>
      </c>
      <c r="H171" s="204" t="str">
        <f t="shared" si="68"/>
        <v>OK</v>
      </c>
    </row>
    <row r="172" spans="1:8" s="64" customFormat="1" outlineLevel="2">
      <c r="A172" s="232"/>
      <c r="B172" s="225"/>
      <c r="C172" s="273" t="s">
        <v>257</v>
      </c>
      <c r="D172" s="68" t="s">
        <v>305</v>
      </c>
      <c r="E172" s="208" t="str">
        <f t="shared" ref="E172:H172" si="69">IF(E41&gt;=E42,"OK","BŁĄD")</f>
        <v>OK</v>
      </c>
      <c r="F172" s="204" t="str">
        <f t="shared" si="69"/>
        <v>OK</v>
      </c>
      <c r="G172" s="204" t="str">
        <f t="shared" si="69"/>
        <v>OK</v>
      </c>
      <c r="H172" s="204" t="str">
        <f t="shared" si="69"/>
        <v>OK</v>
      </c>
    </row>
    <row r="173" spans="1:8" s="64" customFormat="1" outlineLevel="2">
      <c r="A173" s="232"/>
      <c r="B173" s="225"/>
      <c r="C173" s="273" t="s">
        <v>256</v>
      </c>
      <c r="D173" s="68" t="s">
        <v>304</v>
      </c>
      <c r="E173" s="208" t="str">
        <f t="shared" ref="E173:H173" si="70">IF(E41&gt;=E98,"OK","BŁĄD")</f>
        <v>OK</v>
      </c>
      <c r="F173" s="204" t="str">
        <f t="shared" si="70"/>
        <v>OK</v>
      </c>
      <c r="G173" s="204" t="str">
        <f t="shared" si="70"/>
        <v>OK</v>
      </c>
      <c r="H173" s="204" t="str">
        <f t="shared" si="70"/>
        <v>OK</v>
      </c>
    </row>
    <row r="174" spans="1:8" s="64" customFormat="1" outlineLevel="2">
      <c r="A174" s="232"/>
      <c r="B174" s="225"/>
      <c r="C174" s="273" t="s">
        <v>258</v>
      </c>
      <c r="D174" s="68" t="s">
        <v>306</v>
      </c>
      <c r="E174" s="208" t="str">
        <f t="shared" ref="E174:H174" si="71">IF(E42&gt;=E89,"OK","BŁĄD")</f>
        <v>OK</v>
      </c>
      <c r="F174" s="204" t="str">
        <f t="shared" si="71"/>
        <v>OK</v>
      </c>
      <c r="G174" s="204" t="str">
        <f t="shared" si="71"/>
        <v>OK</v>
      </c>
      <c r="H174" s="204" t="str">
        <f t="shared" si="71"/>
        <v>OK</v>
      </c>
    </row>
    <row r="175" spans="1:8" s="64" customFormat="1" outlineLevel="2">
      <c r="A175" s="232"/>
      <c r="B175" s="226"/>
      <c r="C175" s="227" t="s">
        <v>259</v>
      </c>
      <c r="D175" s="69" t="s">
        <v>307</v>
      </c>
      <c r="E175" s="209" t="str">
        <f t="shared" ref="E175:H175" si="72">IF(E19&lt;&gt;0,IF(E20&lt;&gt;0,"OK","BŁĄD"),"N/D")</f>
        <v>OK</v>
      </c>
      <c r="F175" s="206" t="str">
        <f t="shared" si="72"/>
        <v>OK</v>
      </c>
      <c r="G175" s="206" t="str">
        <f t="shared" si="72"/>
        <v>OK</v>
      </c>
      <c r="H175" s="206" t="str">
        <f t="shared" si="72"/>
        <v>OK</v>
      </c>
    </row>
    <row r="176" spans="1:8" s="64" customFormat="1" outlineLevel="2">
      <c r="A176" s="232"/>
      <c r="B176" s="63"/>
      <c r="C176" s="63"/>
      <c r="D176" s="63"/>
      <c r="E176" s="16"/>
      <c r="F176" s="16"/>
      <c r="G176" s="16"/>
      <c r="H176" s="16"/>
    </row>
    <row r="177" spans="1:9" s="64" customFormat="1" outlineLevel="1">
      <c r="A177" s="232"/>
      <c r="B177" s="63"/>
      <c r="C177" s="63"/>
      <c r="D177" s="201" t="s">
        <v>336</v>
      </c>
      <c r="E177" s="16"/>
      <c r="F177" s="16"/>
      <c r="G177" s="16"/>
      <c r="H177" s="16"/>
    </row>
    <row r="178" spans="1:9" s="64" customFormat="1" ht="15" outlineLevel="2">
      <c r="A178" s="232"/>
      <c r="B178" s="108"/>
      <c r="C178" s="291"/>
      <c r="D178" s="109" t="s">
        <v>29</v>
      </c>
      <c r="E178" s="110">
        <f t="shared" ref="E178:H178" si="73">E4+E11</f>
        <v>7880591</v>
      </c>
      <c r="F178" s="111">
        <f t="shared" si="73"/>
        <v>9831848.8399999999</v>
      </c>
      <c r="G178" s="111">
        <f t="shared" si="73"/>
        <v>4950204.8099999996</v>
      </c>
      <c r="H178" s="111">
        <f t="shared" si="73"/>
        <v>91.486881510722853</v>
      </c>
      <c r="I178" s="108"/>
    </row>
    <row r="179" spans="1:9" s="64" customFormat="1" ht="15" outlineLevel="2">
      <c r="A179" s="232"/>
      <c r="B179" s="108"/>
      <c r="C179" s="291"/>
      <c r="D179" s="112" t="s">
        <v>30</v>
      </c>
      <c r="E179" s="113">
        <f t="shared" ref="E179:H179" si="74">E15+E23</f>
        <v>8982264</v>
      </c>
      <c r="F179" s="114">
        <f t="shared" si="74"/>
        <v>10489061.84</v>
      </c>
      <c r="G179" s="114">
        <f t="shared" si="74"/>
        <v>4420330.88</v>
      </c>
      <c r="H179" s="114">
        <f t="shared" si="74"/>
        <v>72.856669890363293</v>
      </c>
      <c r="I179" s="108"/>
    </row>
    <row r="180" spans="1:9" s="64" customFormat="1" ht="15" outlineLevel="2">
      <c r="A180" s="232"/>
      <c r="B180" s="108"/>
      <c r="C180" s="291"/>
      <c r="D180" s="112" t="s">
        <v>311</v>
      </c>
      <c r="E180" s="113">
        <f>E3-E14</f>
        <v>-1101673</v>
      </c>
      <c r="F180" s="114">
        <f>F3-F14</f>
        <v>-657213</v>
      </c>
      <c r="G180" s="114">
        <f>G3-G14</f>
        <v>529873.9299999997</v>
      </c>
      <c r="H180" s="114">
        <f>H3-H14</f>
        <v>8.2063765709833163</v>
      </c>
      <c r="I180" s="108"/>
    </row>
    <row r="181" spans="1:9" s="64" customFormat="1" ht="15" outlineLevel="2">
      <c r="A181" s="232"/>
      <c r="B181" s="108"/>
      <c r="C181" s="291"/>
      <c r="D181" s="115" t="s">
        <v>312</v>
      </c>
      <c r="E181" s="113" t="e">
        <f>#REF!+E30-E35+(E98-#REF!)+E103</f>
        <v>#REF!</v>
      </c>
      <c r="F181" s="114">
        <f t="shared" ref="F181:H181" si="75">E41+F30-F35+(F98-E98)+F103</f>
        <v>3646154.43</v>
      </c>
      <c r="G181" s="114">
        <f t="shared" si="75"/>
        <v>2316007.0099999998</v>
      </c>
      <c r="H181" s="114">
        <f t="shared" si="75"/>
        <v>1918745.6678526981</v>
      </c>
      <c r="I181" s="108"/>
    </row>
    <row r="182" spans="1:9" s="64" customFormat="1" ht="15" outlineLevel="2">
      <c r="A182" s="232"/>
      <c r="B182" s="108"/>
      <c r="C182" s="291"/>
      <c r="D182" s="116" t="s">
        <v>338</v>
      </c>
      <c r="E182" s="117" t="e">
        <f>#REF!-(E91+E92+E93+E94)</f>
        <v>#REF!</v>
      </c>
      <c r="F182" s="118">
        <f t="shared" ref="F182:H182" si="76">E89-(F91+F92+F93+F94)</f>
        <v>0</v>
      </c>
      <c r="G182" s="118">
        <f t="shared" si="76"/>
        <v>0</v>
      </c>
      <c r="H182" s="118">
        <f t="shared" si="76"/>
        <v>0</v>
      </c>
      <c r="I182" s="108"/>
    </row>
    <row r="183" spans="1:9" s="64" customFormat="1">
      <c r="A183" s="232"/>
      <c r="B183" s="1"/>
      <c r="C183" s="288"/>
      <c r="D183" s="1"/>
      <c r="E183" s="1"/>
      <c r="F183" s="1"/>
      <c r="G183" s="1"/>
      <c r="H183" s="1"/>
    </row>
    <row r="184" spans="1:9" s="64" customFormat="1" ht="15.75">
      <c r="A184" s="232"/>
      <c r="B184" s="1"/>
      <c r="C184" s="288"/>
      <c r="D184" s="198" t="s">
        <v>32</v>
      </c>
      <c r="E184" s="1"/>
      <c r="F184" s="1"/>
      <c r="G184" s="1"/>
      <c r="H184" s="1"/>
    </row>
    <row r="185" spans="1:9" s="64" customFormat="1" outlineLevel="1">
      <c r="A185" s="232"/>
      <c r="B185" s="1"/>
      <c r="C185" s="288"/>
      <c r="D185" s="199" t="s">
        <v>37</v>
      </c>
      <c r="E185" s="1"/>
      <c r="F185" s="1"/>
      <c r="G185" s="1"/>
      <c r="H185" s="1"/>
    </row>
    <row r="186" spans="1:9" s="64" customFormat="1" outlineLevel="2">
      <c r="A186" s="232"/>
      <c r="B186" s="1"/>
      <c r="C186" s="288"/>
      <c r="D186" s="23">
        <v>0</v>
      </c>
      <c r="F186" s="2"/>
      <c r="G186" s="2"/>
      <c r="H186" s="2"/>
    </row>
    <row r="187" spans="1:9" s="64" customFormat="1" outlineLevel="2">
      <c r="A187" s="232"/>
      <c r="B187" s="1"/>
      <c r="C187" s="288"/>
      <c r="D187" s="24">
        <v>5.0000000000000001E-3</v>
      </c>
      <c r="F187" s="2"/>
      <c r="G187" s="2"/>
      <c r="H187" s="2"/>
    </row>
    <row r="188" spans="1:9" s="64" customFormat="1" outlineLevel="2">
      <c r="A188" s="232"/>
      <c r="B188" s="1"/>
      <c r="C188" s="288"/>
      <c r="D188" s="25">
        <v>0.01</v>
      </c>
      <c r="F188" s="2"/>
      <c r="G188" s="2"/>
      <c r="H188" s="2"/>
    </row>
    <row r="189" spans="1:9" s="64" customFormat="1" outlineLevel="2">
      <c r="A189" s="232"/>
      <c r="B189" s="1"/>
      <c r="C189" s="288"/>
      <c r="D189" s="190" t="s">
        <v>326</v>
      </c>
      <c r="E189" s="191">
        <f>+IF(E3=0,"",E52-E47)</f>
        <v>1.2799999999999992E-2</v>
      </c>
      <c r="F189" s="192">
        <f>+IF(F3=0,"",F52-F47)</f>
        <v>2.6599999999999999E-2</v>
      </c>
      <c r="G189" s="192">
        <f>+IF(G3=0,"",G52-G47)</f>
        <v>2.6599999999999999E-2</v>
      </c>
      <c r="H189" s="192" t="e">
        <f>+IF(H3=0,"",H52-H47)</f>
        <v>#VALUE!</v>
      </c>
    </row>
    <row r="190" spans="1:9" s="64" customFormat="1" outlineLevel="2">
      <c r="A190" s="232"/>
      <c r="B190" s="1"/>
      <c r="C190" s="288"/>
      <c r="D190" s="193" t="s">
        <v>327</v>
      </c>
      <c r="E190" s="194">
        <f>+IF(E3=0,"",E52-E48)</f>
        <v>1.2799999999999992E-2</v>
      </c>
      <c r="F190" s="195">
        <f>+IF(F3=0,"",F52-F48)</f>
        <v>2.93E-2</v>
      </c>
      <c r="G190" s="195">
        <f>+IF(G3=0,"",G52-G48)</f>
        <v>2.93E-2</v>
      </c>
      <c r="H190" s="195" t="e">
        <f>+IF(H3=0,"",H52-H48)</f>
        <v>#VALUE!</v>
      </c>
    </row>
    <row r="191" spans="1:9" s="64" customFormat="1" outlineLevel="2">
      <c r="A191" s="232"/>
      <c r="B191" s="1"/>
      <c r="C191" s="288"/>
      <c r="D191" s="190" t="s">
        <v>328</v>
      </c>
      <c r="E191" s="191">
        <f>+IF(E3=0,"",E53-E47)</f>
        <v>1.4399999999999996E-2</v>
      </c>
      <c r="F191" s="192">
        <f>+IF(F3=0,"",F53-F47)</f>
        <v>4.3399999999999994E-2</v>
      </c>
      <c r="G191" s="192">
        <f>+IF(G3=0,"",G53-G47)</f>
        <v>4.3399999999999994E-2</v>
      </c>
      <c r="H191" s="192" t="e">
        <f>+IF(H3=0,"",H53-H47)</f>
        <v>#VALUE!</v>
      </c>
    </row>
    <row r="192" spans="1:9" s="64" customFormat="1" outlineLevel="2">
      <c r="A192" s="232"/>
      <c r="B192" s="1"/>
      <c r="C192" s="288"/>
      <c r="D192" s="193" t="s">
        <v>329</v>
      </c>
      <c r="E192" s="194">
        <f>+IF(E3=0,"",E53-E48)</f>
        <v>1.4399999999999996E-2</v>
      </c>
      <c r="F192" s="195">
        <f>+IF(F3=0,"",F53-F48)</f>
        <v>4.6099999999999995E-2</v>
      </c>
      <c r="G192" s="195">
        <f>+IF(G3=0,"",G53-G48)</f>
        <v>4.6099999999999995E-2</v>
      </c>
      <c r="H192" s="195" t="e">
        <f>+IF(H3=0,"",H53-H48)</f>
        <v>#VALUE!</v>
      </c>
    </row>
    <row r="193" spans="1:9" s="64" customFormat="1" outlineLevel="1">
      <c r="A193" s="232"/>
      <c r="B193" s="1"/>
      <c r="C193" s="288"/>
      <c r="D193" s="199" t="s">
        <v>333</v>
      </c>
      <c r="E193" s="2"/>
      <c r="F193" s="2"/>
      <c r="G193" s="2"/>
      <c r="H193" s="2"/>
    </row>
    <row r="194" spans="1:9" s="64" customFormat="1" outlineLevel="2">
      <c r="A194" s="232"/>
      <c r="B194" s="1"/>
      <c r="C194" s="288"/>
      <c r="D194" s="20">
        <v>0.05</v>
      </c>
      <c r="E194" s="1"/>
      <c r="F194" s="2"/>
      <c r="G194" s="2"/>
      <c r="H194" s="2"/>
    </row>
    <row r="195" spans="1:9" s="64" customFormat="1" outlineLevel="2">
      <c r="A195" s="232"/>
      <c r="B195" s="1"/>
      <c r="C195" s="288"/>
      <c r="D195" s="21">
        <v>0.1</v>
      </c>
      <c r="E195" s="1"/>
      <c r="F195" s="2"/>
      <c r="G195" s="2"/>
      <c r="H195" s="2"/>
    </row>
    <row r="196" spans="1:9" s="64" customFormat="1" outlineLevel="2">
      <c r="A196" s="232"/>
      <c r="B196" s="1"/>
      <c r="C196" s="288"/>
      <c r="D196" s="22">
        <v>0.2</v>
      </c>
      <c r="E196" s="1"/>
      <c r="F196" s="2"/>
      <c r="G196" s="2"/>
      <c r="H196" s="2"/>
    </row>
    <row r="197" spans="1:9" s="64" customFormat="1" outlineLevel="2">
      <c r="A197" s="232"/>
      <c r="B197" s="180"/>
      <c r="C197" s="292"/>
      <c r="D197" s="120" t="s">
        <v>24</v>
      </c>
      <c r="E197" s="181" t="e">
        <f>+IF(E3=0,0,IF(#REF!&lt;&gt;0,E223/#REF!-1,0))</f>
        <v>#REF!</v>
      </c>
      <c r="F197" s="182">
        <f>+IF(F3=0,0,IF(E223&lt;&gt;0,F223/E223-1,0))</f>
        <v>0.24760298307576178</v>
      </c>
      <c r="G197" s="182">
        <f>+IF(G3=0,0,IF(F223&lt;&gt;0,G223/F223-1,0))</f>
        <v>-0.4965133322777977</v>
      </c>
      <c r="H197" s="182">
        <f>+IF(H3=0,0,IF(G223&lt;&gt;0,H223/G223-1,0))</f>
        <v>-0.99998982897300115</v>
      </c>
      <c r="I197" s="183"/>
    </row>
    <row r="198" spans="1:9" s="64" customFormat="1" ht="15" outlineLevel="2">
      <c r="A198" s="232"/>
      <c r="B198" s="119"/>
      <c r="C198" s="293"/>
      <c r="D198" s="123" t="s">
        <v>315</v>
      </c>
      <c r="E198" s="124" t="e">
        <f>+IF(E3=0,0,IF(#REF!&lt;&gt;0,E224/#REF!-1,0))</f>
        <v>#REF!</v>
      </c>
      <c r="F198" s="125">
        <f>+IF(F3=0,0,IF(E224&lt;&gt;0,F224/E224-1,0))</f>
        <v>0.10581847101807873</v>
      </c>
      <c r="G198" s="125">
        <f>+IF(G3=0,0,IF(F224&lt;&gt;0,G224/F224-1,0))</f>
        <v>-0.49879591933814382</v>
      </c>
      <c r="H198" s="125">
        <f>+IF(H3=0,0,IF(G224&lt;&gt;0,H224/G224-1,0))</f>
        <v>-1.0000020810261256</v>
      </c>
      <c r="I198" s="108"/>
    </row>
    <row r="199" spans="1:9" s="64" customFormat="1" ht="15" outlineLevel="2">
      <c r="A199" s="232"/>
      <c r="B199" s="119"/>
      <c r="C199" s="293"/>
      <c r="D199" s="126" t="s">
        <v>316</v>
      </c>
      <c r="E199" s="124" t="e">
        <f>+IF(E3=0,0,IF(#REF!&lt;&gt;0,E225/#REF!-1,0))</f>
        <v>#REF!</v>
      </c>
      <c r="F199" s="125">
        <f>+IF(F3=0,0,IF(E225&lt;&gt;0,F225/E225-1,0))</f>
        <v>5.2717560111948059E-2</v>
      </c>
      <c r="G199" s="125">
        <f>+IF(G3=0,0,IF(F225&lt;&gt;0,G225/F225-1,0))</f>
        <v>-0.45279239495034551</v>
      </c>
      <c r="H199" s="125">
        <f>+IF(H3=0,0,IF(G225&lt;&gt;0,H225/G225-1,0))</f>
        <v>-0.99998720411080122</v>
      </c>
      <c r="I199" s="108"/>
    </row>
    <row r="200" spans="1:9" s="64" customFormat="1" ht="15" outlineLevel="2">
      <c r="A200" s="232"/>
      <c r="B200" s="119"/>
      <c r="C200" s="293"/>
      <c r="D200" s="126" t="s">
        <v>317</v>
      </c>
      <c r="E200" s="124" t="e">
        <f>+IF(E3=0,0,IF(#REF!&lt;&gt;0,E226/#REF!-1,0))</f>
        <v>#REF!</v>
      </c>
      <c r="F200" s="125">
        <f>+IF(F3=0,0,IF(E226&lt;&gt;0,F226/E226-1,0))</f>
        <v>1.0243571428571427</v>
      </c>
      <c r="G200" s="125">
        <f>+IF(G3=0,0,IF(F226&lt;&gt;0,G226/F226-1,0))</f>
        <v>-0.91261576279359713</v>
      </c>
      <c r="H200" s="125">
        <f>+IF(H3=0,0,IF(G226&lt;&gt;0,H226/G226-1,0))</f>
        <v>-1.0002863948889991</v>
      </c>
      <c r="I200" s="108"/>
    </row>
    <row r="201" spans="1:9" s="64" customFormat="1" ht="24" outlineLevel="2">
      <c r="A201" s="232"/>
      <c r="B201" s="119"/>
      <c r="C201" s="293"/>
      <c r="D201" s="126" t="s">
        <v>318</v>
      </c>
      <c r="E201" s="124" t="e">
        <f>+IF(E3=0,0,IF(#REF!&lt;&gt;0,E227/#REF!-1,0))</f>
        <v>#REF!</v>
      </c>
      <c r="F201" s="125">
        <f>+IF(F3=0,0,IF(E227&lt;&gt;0,F227/E227-1,0))</f>
        <v>7.2528749999999995</v>
      </c>
      <c r="G201" s="125">
        <f>+IF(G3=0,0,IF(F227&lt;&gt;0,G227/F227-1,0))</f>
        <v>-0.93859458067643098</v>
      </c>
      <c r="H201" s="125">
        <f>+IF(H3=0,0,IF(G227&lt;&gt;0,H227/G227-1,0))</f>
        <v>-1.0009630574105965</v>
      </c>
      <c r="I201" s="108"/>
    </row>
    <row r="202" spans="1:9" s="64" customFormat="1" ht="15" outlineLevel="2">
      <c r="A202" s="232"/>
      <c r="B202" s="119"/>
      <c r="C202" s="293"/>
      <c r="D202" s="127" t="s">
        <v>33</v>
      </c>
      <c r="E202" s="128" t="e">
        <f>+IF(E3=0,0,IF(#REF!&lt;&gt;0,E228/#REF!-1,0))</f>
        <v>#REF!</v>
      </c>
      <c r="F202" s="129">
        <f>+IF(F3=0,0,IF(E228&lt;&gt;0,F228/E228-1,0))</f>
        <v>-0.44117647058823528</v>
      </c>
      <c r="G202" s="129">
        <f>+IF(G3=0,0,IF(F228&lt;&gt;0,G228/F228-1,0))</f>
        <v>-0.82234210526315787</v>
      </c>
      <c r="H202" s="129">
        <f>+IF(H3=0,0,IF(G228&lt;&gt;0,H228/G228-1,0))</f>
        <v>-0.99947368421052629</v>
      </c>
      <c r="I202" s="108"/>
    </row>
    <row r="203" spans="1:9" s="64" customFormat="1" outlineLevel="2">
      <c r="A203" s="232"/>
      <c r="B203" s="180"/>
      <c r="C203" s="292"/>
      <c r="D203" s="120" t="s">
        <v>19</v>
      </c>
      <c r="E203" s="181" t="e">
        <f>+IF(E3=0,0,IF(#REF!&lt;&gt;0,E229/#REF!-1,0))</f>
        <v>#REF!</v>
      </c>
      <c r="F203" s="182">
        <f>+IF(F3=0,0,IF(E229&lt;&gt;0,F229/E229-1,0))</f>
        <v>0.16775256661349514</v>
      </c>
      <c r="G203" s="182">
        <f>+IF(G3=0,0,IF(F229&lt;&gt;0,G229/F229-1,0))</f>
        <v>-0.57857709798763091</v>
      </c>
      <c r="H203" s="182">
        <f>+IF(H3=0,0,IF(G229&lt;&gt;0,H229/G229-1,0))</f>
        <v>-0.99999046625889665</v>
      </c>
      <c r="I203" s="183"/>
    </row>
    <row r="204" spans="1:9" s="64" customFormat="1" ht="15" outlineLevel="2">
      <c r="A204" s="232"/>
      <c r="B204" s="119"/>
      <c r="C204" s="293"/>
      <c r="D204" s="130" t="s">
        <v>314</v>
      </c>
      <c r="E204" s="124" t="e">
        <f>+IF(E3=0,0,IF(#REF!&lt;&gt;0,E230/#REF!-1,0))</f>
        <v>#REF!</v>
      </c>
      <c r="F204" s="125">
        <f>+IF(F3=0,0,IF(E230&lt;&gt;0,F230/E230-1,0))</f>
        <v>0.10099086125215928</v>
      </c>
      <c r="G204" s="125">
        <f>+IF(G3=0,0,IF(F230&lt;&gt;0,G230/F230-1,0))</f>
        <v>-0.57338602164632024</v>
      </c>
      <c r="H204" s="125">
        <f>+IF(H3=0,0,IF(G230&lt;&gt;0,H230/G230-1,0))</f>
        <v>-1.0000006151424947</v>
      </c>
      <c r="I204" s="108"/>
    </row>
    <row r="205" spans="1:9" s="64" customFormat="1" outlineLevel="2">
      <c r="A205" s="232"/>
      <c r="B205" s="180"/>
      <c r="C205" s="292"/>
      <c r="D205" s="131" t="s">
        <v>34</v>
      </c>
      <c r="E205" s="184" t="e">
        <f>+IF(E3=0,0,IF(#REF!&lt;&gt;0,E231/#REF!-1,0))</f>
        <v>#REF!</v>
      </c>
      <c r="F205" s="185">
        <f>+IF(F3=0,0,IF(E231&lt;&gt;0,F231/E231-1,0))</f>
        <v>6.7396004054413927E-2</v>
      </c>
      <c r="G205" s="185">
        <f>+IF(G3=0,0,IF(F231&lt;&gt;0,G231/F231-1,0))</f>
        <v>-0.50658899729067297</v>
      </c>
      <c r="H205" s="185">
        <f>+IF(H3=0,0,IF(G231&lt;&gt;0,H231/G231-1,0))</f>
        <v>-0.99998678168161659</v>
      </c>
      <c r="I205" s="183"/>
    </row>
    <row r="206" spans="1:9" s="64" customFormat="1" ht="15" outlineLevel="2">
      <c r="A206" s="232"/>
      <c r="B206" s="119"/>
      <c r="C206" s="293"/>
      <c r="D206" s="126" t="s">
        <v>36</v>
      </c>
      <c r="E206" s="124" t="e">
        <f>+IF(E3=0,0,IF(#REF!&lt;&gt;0,E232/#REF!-1,0))</f>
        <v>#REF!</v>
      </c>
      <c r="F206" s="125">
        <f>+IF(F3=0,0,IF(E232&lt;&gt;0,F232/E232-1,0))</f>
        <v>4.3854032629454531E-2</v>
      </c>
      <c r="G206" s="125">
        <f>+IF(G3=0,0,IF(F232&lt;&gt;0,G232/F232-1,0))</f>
        <v>-0.49546113135975989</v>
      </c>
      <c r="H206" s="125">
        <f>+IF(H3=0,0,IF(G232&lt;&gt;0,H232/G232-1,0))</f>
        <v>-0.99998678168161659</v>
      </c>
      <c r="I206" s="108"/>
    </row>
    <row r="207" spans="1:9" s="64" customFormat="1" ht="15" outlineLevel="2">
      <c r="A207" s="232"/>
      <c r="B207" s="119"/>
      <c r="C207" s="293"/>
      <c r="D207" s="126" t="s">
        <v>35</v>
      </c>
      <c r="E207" s="124" t="e">
        <f>+IF(E3=0,0,IF(#REF!&lt;&gt;0,E233/#REF!-1,0))</f>
        <v>#REF!</v>
      </c>
      <c r="F207" s="125">
        <f>+IF(F3=0,0,IF(E233&lt;&gt;0,F233/E233-1,0))</f>
        <v>8.5681856277970425E-3</v>
      </c>
      <c r="G207" s="125">
        <f>+IF(G3=0,0,IF(F233&lt;&gt;0,G233/F233-1,0))</f>
        <v>-0.47425847022433976</v>
      </c>
      <c r="H207" s="125">
        <f>+IF(H3=0,0,IF(G233&lt;&gt;0,H233/G233-1,0))</f>
        <v>-0.99996983683355767</v>
      </c>
      <c r="I207" s="108"/>
    </row>
    <row r="208" spans="1:9" s="64" customFormat="1" ht="24" outlineLevel="2">
      <c r="A208" s="232"/>
      <c r="B208" s="119"/>
      <c r="C208" s="293"/>
      <c r="D208" s="127" t="s">
        <v>313</v>
      </c>
      <c r="E208" s="132" t="e">
        <f>+IF(E3=0,0,IF(#REF!&lt;&gt;0,E234/#REF!-1,0))</f>
        <v>#REF!</v>
      </c>
      <c r="F208" s="133">
        <f>+IF(F3=0,0,IF(E234&lt;&gt;0,F234/E234-1,0))</f>
        <v>0.16950094006254179</v>
      </c>
      <c r="G208" s="133">
        <f>+IF(G3=0,0,IF(F234&lt;&gt;0,G234/F234-1,0))</f>
        <v>-0.54555798617328044</v>
      </c>
      <c r="H208" s="133">
        <f>+IF(H3=0,0,IF(G234&lt;&gt;0,H234/G234-1,0))</f>
        <v>-1.0000730804840863</v>
      </c>
      <c r="I208" s="108"/>
    </row>
    <row r="209" spans="1:9" s="64" customFormat="1" ht="15" outlineLevel="1">
      <c r="A209" s="232"/>
      <c r="B209" s="119"/>
      <c r="C209" s="293"/>
      <c r="D209" s="199" t="s">
        <v>334</v>
      </c>
      <c r="E209" s="135"/>
      <c r="F209" s="135"/>
      <c r="G209" s="135"/>
      <c r="H209" s="135"/>
      <c r="I209" s="108"/>
    </row>
    <row r="210" spans="1:9" s="64" customFormat="1" outlineLevel="2">
      <c r="A210" s="232"/>
      <c r="B210" s="180"/>
      <c r="C210" s="292"/>
      <c r="D210" s="120" t="s">
        <v>24</v>
      </c>
      <c r="E210" s="186" t="e">
        <f>+IF(E$223=0,"",E223-#REF!)</f>
        <v>#REF!</v>
      </c>
      <c r="F210" s="187">
        <f t="shared" ref="F210:H215" si="77">+IF(F$223=0,"",F223-E223)</f>
        <v>1951257.8399999999</v>
      </c>
      <c r="G210" s="187">
        <f t="shared" si="77"/>
        <v>-4881644.03</v>
      </c>
      <c r="H210" s="187">
        <f t="shared" si="77"/>
        <v>-4950154.4613332273</v>
      </c>
      <c r="I210" s="183"/>
    </row>
    <row r="211" spans="1:9" s="64" customFormat="1" ht="15" outlineLevel="2">
      <c r="A211" s="232"/>
      <c r="B211" s="119"/>
      <c r="C211" s="293"/>
      <c r="D211" s="123" t="s">
        <v>315</v>
      </c>
      <c r="E211" s="139" t="e">
        <f>+IF(E$223=0,"",E224-#REF!)</f>
        <v>#REF!</v>
      </c>
      <c r="F211" s="140">
        <f t="shared" si="77"/>
        <v>813231.1400000006</v>
      </c>
      <c r="G211" s="140">
        <f t="shared" si="77"/>
        <v>-4238959.330000001</v>
      </c>
      <c r="H211" s="140">
        <f t="shared" si="77"/>
        <v>-4259433.6739743091</v>
      </c>
      <c r="I211" s="108"/>
    </row>
    <row r="212" spans="1:9" s="64" customFormat="1" ht="15" outlineLevel="2">
      <c r="A212" s="232"/>
      <c r="B212" s="119"/>
      <c r="C212" s="293"/>
      <c r="D212" s="126" t="s">
        <v>316</v>
      </c>
      <c r="E212" s="139" t="e">
        <f>+IF(E$223=0,"",E225-#REF!)</f>
        <v>#REF!</v>
      </c>
      <c r="F212" s="140">
        <f t="shared" si="77"/>
        <v>383001.13999999966</v>
      </c>
      <c r="G212" s="140">
        <f t="shared" si="77"/>
        <v>-3463026.03</v>
      </c>
      <c r="H212" s="140">
        <f t="shared" si="77"/>
        <v>-4185074.5575644216</v>
      </c>
      <c r="I212" s="108"/>
    </row>
    <row r="213" spans="1:9" s="64" customFormat="1" ht="15" outlineLevel="2">
      <c r="A213" s="232"/>
      <c r="B213" s="119"/>
      <c r="C213" s="293"/>
      <c r="D213" s="126" t="s">
        <v>317</v>
      </c>
      <c r="E213" s="139" t="e">
        <f>+IF(E$223=0,"",E226-#REF!)</f>
        <v>#REF!</v>
      </c>
      <c r="F213" s="140">
        <f t="shared" si="77"/>
        <v>430230</v>
      </c>
      <c r="G213" s="140">
        <f t="shared" si="77"/>
        <v>-775933.3</v>
      </c>
      <c r="H213" s="140">
        <f t="shared" si="77"/>
        <v>-74317.978195149451</v>
      </c>
      <c r="I213" s="108"/>
    </row>
    <row r="214" spans="1:9" s="64" customFormat="1" ht="24" outlineLevel="2">
      <c r="A214" s="232"/>
      <c r="B214" s="119"/>
      <c r="C214" s="293"/>
      <c r="D214" s="126" t="s">
        <v>318</v>
      </c>
      <c r="E214" s="139" t="e">
        <f>+IF(E$223=0,"",E227-#REF!)</f>
        <v>#REF!</v>
      </c>
      <c r="F214" s="140">
        <f t="shared" si="77"/>
        <v>580230</v>
      </c>
      <c r="G214" s="140">
        <f t="shared" si="77"/>
        <v>-619688.30000000005</v>
      </c>
      <c r="H214" s="140">
        <f t="shared" si="77"/>
        <v>-40580.743984623143</v>
      </c>
      <c r="I214" s="108"/>
    </row>
    <row r="215" spans="1:9" s="64" customFormat="1" ht="15" outlineLevel="2">
      <c r="A215" s="232"/>
      <c r="B215" s="119"/>
      <c r="C215" s="293"/>
      <c r="D215" s="127" t="s">
        <v>33</v>
      </c>
      <c r="E215" s="141" t="e">
        <f>+IF(E$223=0,"",E228-#REF!)</f>
        <v>#REF!</v>
      </c>
      <c r="F215" s="142">
        <f t="shared" si="77"/>
        <v>-150000</v>
      </c>
      <c r="G215" s="142">
        <f t="shared" si="77"/>
        <v>-156245</v>
      </c>
      <c r="H215" s="142">
        <f t="shared" si="77"/>
        <v>-33737.234210526316</v>
      </c>
      <c r="I215" s="108"/>
    </row>
    <row r="216" spans="1:9" s="64" customFormat="1" outlineLevel="2">
      <c r="A216" s="232"/>
      <c r="B216" s="180"/>
      <c r="C216" s="292"/>
      <c r="D216" s="120" t="s">
        <v>19</v>
      </c>
      <c r="E216" s="186" t="e">
        <f>+IF(E$229=0,"",E229-#REF!)</f>
        <v>#REF!</v>
      </c>
      <c r="F216" s="187">
        <f t="shared" ref="F216:H221" si="78">+IF(F$229=0,"",F229-E229)</f>
        <v>1506797.8399999999</v>
      </c>
      <c r="G216" s="187">
        <f t="shared" si="78"/>
        <v>-6068730.96</v>
      </c>
      <c r="H216" s="187">
        <f t="shared" si="78"/>
        <v>-4420288.7377097989</v>
      </c>
      <c r="I216" s="183"/>
    </row>
    <row r="217" spans="1:9" s="64" customFormat="1" ht="15" outlineLevel="2">
      <c r="A217" s="232"/>
      <c r="B217" s="119"/>
      <c r="C217" s="293"/>
      <c r="D217" s="130" t="s">
        <v>314</v>
      </c>
      <c r="E217" s="139" t="e">
        <f>+IF(E$229=0,"",E230-#REF!)</f>
        <v>#REF!</v>
      </c>
      <c r="F217" s="140">
        <f t="shared" si="78"/>
        <v>868771.1400000006</v>
      </c>
      <c r="G217" s="140">
        <f t="shared" si="78"/>
        <v>-5430678.9000000004</v>
      </c>
      <c r="H217" s="140">
        <f t="shared" si="78"/>
        <v>-4040567.5555232773</v>
      </c>
      <c r="I217" s="108"/>
    </row>
    <row r="218" spans="1:9" s="64" customFormat="1" outlineLevel="2">
      <c r="A218" s="232"/>
      <c r="B218" s="180"/>
      <c r="C218" s="292"/>
      <c r="D218" s="131" t="s">
        <v>34</v>
      </c>
      <c r="E218" s="188" t="e">
        <f>+IF(E$229=0,"",E231-#REF!)</f>
        <v>#REF!</v>
      </c>
      <c r="F218" s="189">
        <f t="shared" si="78"/>
        <v>477674.83999999985</v>
      </c>
      <c r="G218" s="189">
        <f t="shared" si="78"/>
        <v>-3832476.8899999997</v>
      </c>
      <c r="H218" s="189">
        <f t="shared" si="78"/>
        <v>-3732732.6088997293</v>
      </c>
      <c r="I218" s="183"/>
    </row>
    <row r="219" spans="1:9" s="64" customFormat="1" ht="15" outlineLevel="2">
      <c r="A219" s="232"/>
      <c r="B219" s="119"/>
      <c r="C219" s="293"/>
      <c r="D219" s="126" t="s">
        <v>36</v>
      </c>
      <c r="E219" s="139" t="e">
        <f>+IF(E$229=0,"",E232-#REF!)</f>
        <v>#REF!</v>
      </c>
      <c r="F219" s="140">
        <f t="shared" si="78"/>
        <v>310819.13999999966</v>
      </c>
      <c r="G219" s="140">
        <f t="shared" si="78"/>
        <v>-3665621.1899999995</v>
      </c>
      <c r="H219" s="140">
        <f t="shared" si="78"/>
        <v>-3732732.6088997293</v>
      </c>
      <c r="I219" s="108"/>
    </row>
    <row r="220" spans="1:9" s="64" customFormat="1" ht="15" outlineLevel="2">
      <c r="A220" s="232"/>
      <c r="B220" s="119"/>
      <c r="C220" s="293"/>
      <c r="D220" s="126" t="s">
        <v>35</v>
      </c>
      <c r="E220" s="139" t="e">
        <f>+IF(E$229=0,"",E233-#REF!)</f>
        <v>#REF!</v>
      </c>
      <c r="F220" s="140">
        <f t="shared" si="78"/>
        <v>28164.799999999814</v>
      </c>
      <c r="G220" s="140">
        <f t="shared" si="78"/>
        <v>-1572309.9599999997</v>
      </c>
      <c r="H220" s="140">
        <f t="shared" si="78"/>
        <v>-1742939.2658470224</v>
      </c>
      <c r="I220" s="108"/>
    </row>
    <row r="221" spans="1:9" s="64" customFormat="1" ht="24" outlineLevel="2">
      <c r="A221" s="232"/>
      <c r="B221" s="119"/>
      <c r="C221" s="293"/>
      <c r="D221" s="127" t="s">
        <v>313</v>
      </c>
      <c r="E221" s="141" t="e">
        <f>+IF(E$229=0,"",E234-#REF!)</f>
        <v>#REF!</v>
      </c>
      <c r="F221" s="142">
        <f t="shared" si="78"/>
        <v>437698.04000000004</v>
      </c>
      <c r="G221" s="142">
        <f t="shared" si="78"/>
        <v>-1647570.4099999997</v>
      </c>
      <c r="H221" s="142">
        <f t="shared" si="78"/>
        <v>-1372502.925848562</v>
      </c>
      <c r="I221" s="108"/>
    </row>
    <row r="222" spans="1:9" s="64" customFormat="1" ht="15" outlineLevel="1">
      <c r="A222" s="232"/>
      <c r="B222" s="119"/>
      <c r="C222" s="293"/>
      <c r="D222" s="199" t="s">
        <v>335</v>
      </c>
      <c r="E222" s="135"/>
      <c r="F222" s="135"/>
      <c r="G222" s="135"/>
      <c r="H222" s="135"/>
      <c r="I222" s="108"/>
    </row>
    <row r="223" spans="1:9" s="64" customFormat="1" outlineLevel="2">
      <c r="A223" s="232"/>
      <c r="B223" s="180"/>
      <c r="C223" s="292"/>
      <c r="D223" s="120" t="s">
        <v>24</v>
      </c>
      <c r="E223" s="186">
        <f t="shared" ref="E223:H223" si="79">+E3</f>
        <v>7880591</v>
      </c>
      <c r="F223" s="187">
        <f t="shared" si="79"/>
        <v>9831848.8399999999</v>
      </c>
      <c r="G223" s="187">
        <f t="shared" si="79"/>
        <v>4950204.8099999996</v>
      </c>
      <c r="H223" s="187">
        <f t="shared" si="79"/>
        <v>50.348666772220227</v>
      </c>
      <c r="I223" s="183"/>
    </row>
    <row r="224" spans="1:9" s="64" customFormat="1" ht="15" outlineLevel="2">
      <c r="A224" s="232"/>
      <c r="B224" s="119"/>
      <c r="C224" s="293"/>
      <c r="D224" s="123" t="s">
        <v>315</v>
      </c>
      <c r="E224" s="139">
        <f>+(E3-E68-E71)</f>
        <v>7685153</v>
      </c>
      <c r="F224" s="140">
        <f>+(F3-F68-F71)</f>
        <v>8498384.1400000006</v>
      </c>
      <c r="G224" s="140">
        <f>+(G3-G68-G71)</f>
        <v>4259424.8099999996</v>
      </c>
      <c r="H224" s="140">
        <f>+(H3-H68-H71)</f>
        <v>-8.8639743097532531</v>
      </c>
      <c r="I224" s="108"/>
    </row>
    <row r="225" spans="1:9" s="64" customFormat="1" ht="15" outlineLevel="2">
      <c r="A225" s="232"/>
      <c r="B225" s="119"/>
      <c r="C225" s="293"/>
      <c r="D225" s="126" t="s">
        <v>316</v>
      </c>
      <c r="E225" s="139">
        <f t="shared" ref="E225:H225" si="80">+E4-E68</f>
        <v>7265153</v>
      </c>
      <c r="F225" s="140">
        <f t="shared" si="80"/>
        <v>7648154.1399999997</v>
      </c>
      <c r="G225" s="140">
        <f t="shared" si="80"/>
        <v>4185128.11</v>
      </c>
      <c r="H225" s="140">
        <f t="shared" si="80"/>
        <v>53.552435578251298</v>
      </c>
      <c r="I225" s="108"/>
    </row>
    <row r="226" spans="1:9" s="64" customFormat="1" ht="15" outlineLevel="2">
      <c r="A226" s="232"/>
      <c r="B226" s="119"/>
      <c r="C226" s="293"/>
      <c r="D226" s="126" t="s">
        <v>317</v>
      </c>
      <c r="E226" s="139">
        <f t="shared" ref="E226:H226" si="81">+E11-E71</f>
        <v>420000</v>
      </c>
      <c r="F226" s="140">
        <f t="shared" si="81"/>
        <v>850230</v>
      </c>
      <c r="G226" s="140">
        <f t="shared" si="81"/>
        <v>74296.699999999953</v>
      </c>
      <c r="H226" s="140">
        <f t="shared" si="81"/>
        <v>-21.278195149501926</v>
      </c>
      <c r="I226" s="108"/>
    </row>
    <row r="227" spans="1:9" s="64" customFormat="1" ht="24" outlineLevel="2">
      <c r="A227" s="232"/>
      <c r="B227" s="119"/>
      <c r="C227" s="293"/>
      <c r="D227" s="126" t="s">
        <v>318</v>
      </c>
      <c r="E227" s="139">
        <f t="shared" ref="E227:H227" si="82">+E11-E71-E12</f>
        <v>80000</v>
      </c>
      <c r="F227" s="140">
        <f t="shared" si="82"/>
        <v>660230</v>
      </c>
      <c r="G227" s="140">
        <f t="shared" si="82"/>
        <v>40541.699999999953</v>
      </c>
      <c r="H227" s="140">
        <f t="shared" si="82"/>
        <v>-39.043984623186134</v>
      </c>
      <c r="I227" s="108"/>
    </row>
    <row r="228" spans="1:9" s="64" customFormat="1" ht="15" outlineLevel="2">
      <c r="A228" s="232"/>
      <c r="B228" s="119"/>
      <c r="C228" s="293"/>
      <c r="D228" s="127" t="s">
        <v>33</v>
      </c>
      <c r="E228" s="141">
        <f t="shared" ref="E228:H228" si="83">+E12</f>
        <v>340000</v>
      </c>
      <c r="F228" s="142">
        <f t="shared" si="83"/>
        <v>190000</v>
      </c>
      <c r="G228" s="142">
        <f t="shared" si="83"/>
        <v>33755</v>
      </c>
      <c r="H228" s="142">
        <f t="shared" si="83"/>
        <v>17.765789473684208</v>
      </c>
      <c r="I228" s="108"/>
    </row>
    <row r="229" spans="1:9" s="64" customFormat="1" outlineLevel="2">
      <c r="A229" s="232"/>
      <c r="B229" s="180"/>
      <c r="C229" s="292"/>
      <c r="D229" s="120" t="s">
        <v>19</v>
      </c>
      <c r="E229" s="186">
        <f t="shared" ref="E229:H229" si="84">+E14</f>
        <v>8982264</v>
      </c>
      <c r="F229" s="187">
        <f t="shared" si="84"/>
        <v>10489061.84</v>
      </c>
      <c r="G229" s="187">
        <f t="shared" si="84"/>
        <v>4420330.88</v>
      </c>
      <c r="H229" s="187">
        <f t="shared" si="84"/>
        <v>42.142290201236911</v>
      </c>
      <c r="I229" s="183"/>
    </row>
    <row r="230" spans="1:9" s="64" customFormat="1" ht="15" outlineLevel="2">
      <c r="A230" s="232"/>
      <c r="B230" s="119"/>
      <c r="C230" s="293"/>
      <c r="D230" s="130" t="s">
        <v>314</v>
      </c>
      <c r="E230" s="139">
        <f t="shared" ref="E230:H230" si="85">+E14-E74-E77</f>
        <v>8602472.8300000001</v>
      </c>
      <c r="F230" s="140">
        <f t="shared" si="85"/>
        <v>9471243.9700000007</v>
      </c>
      <c r="G230" s="140">
        <f t="shared" si="85"/>
        <v>4040565.07</v>
      </c>
      <c r="H230" s="140">
        <f t="shared" si="85"/>
        <v>-2.4855232772400484</v>
      </c>
      <c r="I230" s="108"/>
    </row>
    <row r="231" spans="1:9" s="64" customFormat="1" outlineLevel="2">
      <c r="A231" s="232"/>
      <c r="B231" s="180"/>
      <c r="C231" s="292"/>
      <c r="D231" s="131" t="s">
        <v>34</v>
      </c>
      <c r="E231" s="188">
        <f t="shared" ref="E231:H231" si="86">+E15</f>
        <v>7087584</v>
      </c>
      <c r="F231" s="189">
        <f t="shared" si="86"/>
        <v>7565258.8399999999</v>
      </c>
      <c r="G231" s="189">
        <f t="shared" si="86"/>
        <v>3732781.95</v>
      </c>
      <c r="H231" s="189">
        <f t="shared" si="86"/>
        <v>49.341100270932699</v>
      </c>
      <c r="I231" s="183"/>
    </row>
    <row r="232" spans="1:9" s="64" customFormat="1" ht="15" outlineLevel="2">
      <c r="A232" s="232"/>
      <c r="B232" s="119"/>
      <c r="C232" s="293"/>
      <c r="D232" s="126" t="s">
        <v>36</v>
      </c>
      <c r="E232" s="139">
        <f t="shared" ref="E232:H232" si="87">+E15-E74</f>
        <v>7087584</v>
      </c>
      <c r="F232" s="140">
        <f t="shared" si="87"/>
        <v>7398403.1399999997</v>
      </c>
      <c r="G232" s="140">
        <f t="shared" si="87"/>
        <v>3732781.95</v>
      </c>
      <c r="H232" s="140">
        <f t="shared" si="87"/>
        <v>49.341100270932699</v>
      </c>
      <c r="I232" s="108"/>
    </row>
    <row r="233" spans="1:9" s="64" customFormat="1" ht="15" outlineLevel="2">
      <c r="A233" s="232"/>
      <c r="B233" s="119"/>
      <c r="C233" s="293"/>
      <c r="D233" s="126" t="s">
        <v>35</v>
      </c>
      <c r="E233" s="139">
        <f>+E59</f>
        <v>3287137</v>
      </c>
      <c r="F233" s="140">
        <f t="shared" ref="F233:H233" si="88">+F59</f>
        <v>3315301.8</v>
      </c>
      <c r="G233" s="140">
        <f t="shared" si="88"/>
        <v>1742991.84</v>
      </c>
      <c r="H233" s="140">
        <f t="shared" si="88"/>
        <v>52.574152977566023</v>
      </c>
      <c r="I233" s="108"/>
    </row>
    <row r="234" spans="1:9" s="64" customFormat="1" ht="24" outlineLevel="2">
      <c r="A234" s="232"/>
      <c r="B234" s="119"/>
      <c r="C234" s="293"/>
      <c r="D234" s="127" t="s">
        <v>313</v>
      </c>
      <c r="E234" s="141">
        <f t="shared" ref="E234:H234" si="89">+E15-E16-E19-E59-E60</f>
        <v>2582275</v>
      </c>
      <c r="F234" s="142">
        <f t="shared" si="89"/>
        <v>3019973.04</v>
      </c>
      <c r="G234" s="142">
        <f t="shared" si="89"/>
        <v>1372402.6300000004</v>
      </c>
      <c r="H234" s="142">
        <f t="shared" si="89"/>
        <v>-100.2958485616293</v>
      </c>
      <c r="I234" s="108"/>
    </row>
    <row r="235" spans="1:9" s="64" customFormat="1" outlineLevel="2">
      <c r="A235" s="232"/>
      <c r="B235" s="1"/>
      <c r="C235" s="288"/>
      <c r="D235" s="18"/>
      <c r="E235" s="19"/>
      <c r="F235" s="19"/>
      <c r="G235" s="19"/>
      <c r="H235" s="19"/>
    </row>
  </sheetData>
  <sheetProtection formatCells="0" formatColumns="0" formatRows="0" insertColumns="0" insertRows="0" deleteColumns="0" deleteRows="0"/>
  <customSheetViews>
    <customSheetView guid="{9360F695-77C0-4418-82C5-829A762C44E9}" showAutoFilter="1" hiddenColumns="1">
      <pane xSplit="4" ySplit="9" topLeftCell="E10" activePane="bottomRight" state="frozen"/>
      <selection pane="bottomRight" activeCell="E10" sqref="E10"/>
      <rowBreaks count="2" manualBreakCount="2">
        <brk id="49" min="1" max="37" man="1"/>
        <brk id="88" min="1" max="37" man="1"/>
      </rowBreaks>
      <pageMargins left="0.51181102362204722" right="0.51181102362204722" top="0.47244094488188981" bottom="0.47244094488188981" header="0.31496062992125984" footer="0.31496062992125984"/>
      <pageSetup paperSize="9" scale="58" orientation="landscape" blackAndWhite="1" horizontalDpi="4294967293" verticalDpi="4294967293" r:id="rId1"/>
      <headerFooter>
        <oddFooter>&amp;L&amp;"Czcionka tekstu podstawowego,Kursywa"&amp;8Wersja szablonu wydruku: 2013-04-08a (symulacja WPF)&amp;C&amp;8Strona &amp;P z &amp;N&amp;R&amp;8Wydruk z dn.: &amp;D - &amp;T</oddFooter>
      </headerFooter>
      <autoFilter ref="B1"/>
    </customSheetView>
  </customSheetViews>
  <mergeCells count="1">
    <mergeCell ref="B1:H1"/>
  </mergeCells>
  <conditionalFormatting sqref="E54:H55">
    <cfRule type="containsText" dxfId="10" priority="42" stopIfTrue="1" operator="containsText" text="NIE">
      <formula>NOT(ISERROR(SEARCH("NIE",E54)))</formula>
    </cfRule>
  </conditionalFormatting>
  <conditionalFormatting sqref="E197:H208">
    <cfRule type="cellIs" dxfId="9" priority="19" stopIfTrue="1" operator="notBetween">
      <formula>-$D$196</formula>
      <formula>$D$196</formula>
    </cfRule>
    <cfRule type="cellIs" dxfId="8" priority="30" stopIfTrue="1" operator="notBetween">
      <formula>-$D$195</formula>
      <formula>$D$195</formula>
    </cfRule>
    <cfRule type="cellIs" dxfId="7" priority="31" stopIfTrue="1" operator="notBetween">
      <formula>-$D$194</formula>
      <formula>$D$194</formula>
    </cfRule>
  </conditionalFormatting>
  <conditionalFormatting sqref="E123:H125">
    <cfRule type="cellIs" dxfId="6" priority="15" stopIfTrue="1" operator="between">
      <formula>-1000000000000</formula>
      <formula>1000000000000</formula>
    </cfRule>
  </conditionalFormatting>
  <conditionalFormatting sqref="E120:H121">
    <cfRule type="cellIs" dxfId="5" priority="14" stopIfTrue="1" operator="between">
      <formula>-1000000000000</formula>
      <formula>1000000000000</formula>
    </cfRule>
  </conditionalFormatting>
  <conditionalFormatting sqref="E126:H175">
    <cfRule type="cellIs" dxfId="4" priority="13" stopIfTrue="1" operator="equal">
      <formula>"BŁĄD"</formula>
    </cfRule>
  </conditionalFormatting>
  <conditionalFormatting sqref="E189:H192">
    <cfRule type="cellIs" dxfId="3" priority="23" stopIfTrue="1" operator="lessThan">
      <formula>$D$186</formula>
    </cfRule>
    <cfRule type="cellIs" dxfId="2" priority="24" stopIfTrue="1" operator="lessThan">
      <formula>$D$187</formula>
    </cfRule>
    <cfRule type="cellIs" dxfId="1" priority="25" stopIfTrue="1" operator="lessThan">
      <formula>$D$188</formula>
    </cfRule>
  </conditionalFormatting>
  <conditionalFormatting sqref="E122:H122">
    <cfRule type="cellIs" dxfId="0" priority="9" stopIfTrue="1" operator="between">
      <formula>0</formula>
      <formula>1000000000000</formula>
    </cfRule>
  </conditionalFormatting>
  <pageMargins left="0.51181102362204722" right="0.51181102362204722" top="0.47244094488188981" bottom="0.47244094488188981" header="0.31496062992125984" footer="0.31496062992125984"/>
  <pageSetup paperSize="9" scale="58" orientation="portrait" blackAndWhite="1" r:id="rId2"/>
  <headerFooter>
    <oddFooter>&amp;C&amp;8Strona &amp;P z &amp;N</oddFooter>
  </headerFooter>
  <rowBreaks count="2" manualBreakCount="2">
    <brk id="45" min="1" max="7" man="1"/>
    <brk id="79" min="1" max="7" man="1"/>
  </row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4"/>
  <dimension ref="A9:AH114"/>
  <sheetViews>
    <sheetView topLeftCell="A73" workbookViewId="0">
      <selection activeCell="A114" sqref="A114"/>
    </sheetView>
  </sheetViews>
  <sheetFormatPr defaultRowHeight="11.25"/>
  <cols>
    <col min="1" max="1" width="4.5" style="27" customWidth="1"/>
    <col min="2" max="2" width="6.125" style="27" customWidth="1"/>
    <col min="3" max="3" width="46.375" style="28" customWidth="1"/>
    <col min="4" max="4" width="21" style="28" customWidth="1"/>
    <col min="5" max="5" width="19.875" style="28" customWidth="1"/>
    <col min="6" max="13" width="16.75" style="28" bestFit="1" customWidth="1"/>
    <col min="14" max="16384" width="9" style="28"/>
  </cols>
  <sheetData>
    <row r="9" spans="1:34">
      <c r="B9" s="27" t="s">
        <v>0</v>
      </c>
      <c r="C9" s="28" t="s">
        <v>1</v>
      </c>
      <c r="D9" s="28">
        <v>0</v>
      </c>
      <c r="E9" s="28">
        <v>0</v>
      </c>
      <c r="F9" s="28">
        <f>+E9+1</f>
        <v>1</v>
      </c>
      <c r="G9" s="28">
        <f t="shared" ref="G9:AF9" si="0">+F9+1</f>
        <v>2</v>
      </c>
      <c r="H9" s="28">
        <f t="shared" si="0"/>
        <v>3</v>
      </c>
      <c r="I9" s="28">
        <f t="shared" si="0"/>
        <v>4</v>
      </c>
      <c r="J9" s="28">
        <f t="shared" si="0"/>
        <v>5</v>
      </c>
      <c r="K9" s="28">
        <f t="shared" si="0"/>
        <v>6</v>
      </c>
      <c r="L9" s="28">
        <f t="shared" si="0"/>
        <v>7</v>
      </c>
      <c r="M9" s="28">
        <f t="shared" si="0"/>
        <v>8</v>
      </c>
      <c r="N9" s="28">
        <f t="shared" si="0"/>
        <v>9</v>
      </c>
      <c r="O9" s="28">
        <f t="shared" si="0"/>
        <v>10</v>
      </c>
      <c r="P9" s="28">
        <f>+O9+1</f>
        <v>11</v>
      </c>
      <c r="Q9" s="28">
        <f t="shared" si="0"/>
        <v>12</v>
      </c>
      <c r="R9" s="28">
        <f t="shared" si="0"/>
        <v>13</v>
      </c>
      <c r="S9" s="28">
        <f t="shared" si="0"/>
        <v>14</v>
      </c>
      <c r="T9" s="28">
        <f t="shared" si="0"/>
        <v>15</v>
      </c>
      <c r="U9" s="28">
        <f t="shared" si="0"/>
        <v>16</v>
      </c>
      <c r="V9" s="28">
        <f t="shared" si="0"/>
        <v>17</v>
      </c>
      <c r="W9" s="28">
        <f t="shared" si="0"/>
        <v>18</v>
      </c>
      <c r="X9" s="28">
        <f t="shared" si="0"/>
        <v>19</v>
      </c>
      <c r="Y9" s="28">
        <f t="shared" si="0"/>
        <v>20</v>
      </c>
      <c r="Z9" s="28">
        <f t="shared" si="0"/>
        <v>21</v>
      </c>
      <c r="AA9" s="28">
        <f t="shared" si="0"/>
        <v>22</v>
      </c>
      <c r="AB9" s="28">
        <f t="shared" si="0"/>
        <v>23</v>
      </c>
      <c r="AC9" s="28">
        <f t="shared" si="0"/>
        <v>24</v>
      </c>
      <c r="AD9" s="28">
        <f t="shared" si="0"/>
        <v>25</v>
      </c>
      <c r="AE9" s="28">
        <f t="shared" si="0"/>
        <v>26</v>
      </c>
      <c r="AF9" s="28">
        <f t="shared" si="0"/>
        <v>27</v>
      </c>
      <c r="AG9" s="28">
        <f>+AF9+1</f>
        <v>28</v>
      </c>
      <c r="AH9" s="28">
        <f>+AG9+1</f>
        <v>29</v>
      </c>
    </row>
    <row r="10" spans="1:34">
      <c r="A10" s="27">
        <v>10</v>
      </c>
      <c r="B10" s="27">
        <v>1</v>
      </c>
      <c r="C10" s="28" t="s">
        <v>24</v>
      </c>
      <c r="D10" s="28" t="str">
        <f t="shared" ref="D10:M19" si="1">+"rokwzgl="&amp;D$9&amp;" i lp="&amp;$A10</f>
        <v>rokwzgl=0 i lp=10</v>
      </c>
      <c r="E10" s="28" t="str">
        <f t="shared" si="1"/>
        <v>rokwzgl=0 i lp=10</v>
      </c>
      <c r="F10" s="28" t="str">
        <f t="shared" si="1"/>
        <v>rokwzgl=1 i lp=10</v>
      </c>
      <c r="G10" s="28" t="str">
        <f t="shared" si="1"/>
        <v>rokwzgl=2 i lp=10</v>
      </c>
      <c r="H10" s="28" t="str">
        <f t="shared" si="1"/>
        <v>rokwzgl=3 i lp=10</v>
      </c>
      <c r="I10" s="28" t="str">
        <f t="shared" si="1"/>
        <v>rokwzgl=4 i lp=10</v>
      </c>
      <c r="J10" s="28" t="str">
        <f t="shared" si="1"/>
        <v>rokwzgl=5 i lp=10</v>
      </c>
      <c r="K10" s="28" t="str">
        <f t="shared" si="1"/>
        <v>rokwzgl=6 i lp=10</v>
      </c>
      <c r="L10" s="28" t="str">
        <f t="shared" si="1"/>
        <v>rokwzgl=7 i lp=10</v>
      </c>
      <c r="M10" s="28" t="str">
        <f t="shared" si="1"/>
        <v>rokwzgl=8 i lp=10</v>
      </c>
      <c r="N10" s="28" t="str">
        <f t="shared" ref="N10:W19" si="2">+"rokwzgl="&amp;N$9&amp;" i lp="&amp;$A10</f>
        <v>rokwzgl=9 i lp=10</v>
      </c>
      <c r="O10" s="28" t="str">
        <f t="shared" si="2"/>
        <v>rokwzgl=10 i lp=10</v>
      </c>
      <c r="P10" s="28" t="str">
        <f t="shared" si="2"/>
        <v>rokwzgl=11 i lp=10</v>
      </c>
      <c r="Q10" s="28" t="str">
        <f t="shared" si="2"/>
        <v>rokwzgl=12 i lp=10</v>
      </c>
      <c r="R10" s="28" t="str">
        <f t="shared" si="2"/>
        <v>rokwzgl=13 i lp=10</v>
      </c>
      <c r="S10" s="28" t="str">
        <f t="shared" si="2"/>
        <v>rokwzgl=14 i lp=10</v>
      </c>
      <c r="T10" s="28" t="str">
        <f t="shared" si="2"/>
        <v>rokwzgl=15 i lp=10</v>
      </c>
      <c r="U10" s="28" t="str">
        <f t="shared" si="2"/>
        <v>rokwzgl=16 i lp=10</v>
      </c>
      <c r="V10" s="28" t="str">
        <f t="shared" si="2"/>
        <v>rokwzgl=17 i lp=10</v>
      </c>
      <c r="W10" s="28" t="str">
        <f t="shared" si="2"/>
        <v>rokwzgl=18 i lp=10</v>
      </c>
      <c r="X10" s="28" t="str">
        <f t="shared" ref="X10:AH19" si="3">+"rokwzgl="&amp;X$9&amp;" i lp="&amp;$A10</f>
        <v>rokwzgl=19 i lp=10</v>
      </c>
      <c r="Y10" s="28" t="str">
        <f t="shared" si="3"/>
        <v>rokwzgl=20 i lp=10</v>
      </c>
      <c r="Z10" s="28" t="str">
        <f t="shared" si="3"/>
        <v>rokwzgl=21 i lp=10</v>
      </c>
      <c r="AA10" s="28" t="str">
        <f t="shared" si="3"/>
        <v>rokwzgl=22 i lp=10</v>
      </c>
      <c r="AB10" s="28" t="str">
        <f t="shared" si="3"/>
        <v>rokwzgl=23 i lp=10</v>
      </c>
      <c r="AC10" s="28" t="str">
        <f t="shared" si="3"/>
        <v>rokwzgl=24 i lp=10</v>
      </c>
      <c r="AD10" s="28" t="str">
        <f t="shared" si="3"/>
        <v>rokwzgl=25 i lp=10</v>
      </c>
      <c r="AE10" s="28" t="str">
        <f t="shared" si="3"/>
        <v>rokwzgl=26 i lp=10</v>
      </c>
      <c r="AF10" s="28" t="str">
        <f t="shared" si="3"/>
        <v>rokwzgl=27 i lp=10</v>
      </c>
      <c r="AG10" s="28" t="str">
        <f t="shared" si="3"/>
        <v>rokwzgl=28 i lp=10</v>
      </c>
      <c r="AH10" s="28" t="str">
        <f t="shared" si="3"/>
        <v>rokwzgl=29 i lp=10</v>
      </c>
    </row>
    <row r="11" spans="1:34">
      <c r="A11" s="27">
        <v>20</v>
      </c>
      <c r="B11" s="27" t="s">
        <v>136</v>
      </c>
      <c r="C11" s="28" t="s">
        <v>40</v>
      </c>
      <c r="D11" s="28" t="str">
        <f t="shared" si="1"/>
        <v>rokwzgl=0 i lp=20</v>
      </c>
      <c r="E11" s="28" t="str">
        <f t="shared" si="1"/>
        <v>rokwzgl=0 i lp=20</v>
      </c>
      <c r="F11" s="28" t="str">
        <f t="shared" si="1"/>
        <v>rokwzgl=1 i lp=20</v>
      </c>
      <c r="G11" s="28" t="str">
        <f t="shared" si="1"/>
        <v>rokwzgl=2 i lp=20</v>
      </c>
      <c r="H11" s="28" t="str">
        <f t="shared" si="1"/>
        <v>rokwzgl=3 i lp=20</v>
      </c>
      <c r="I11" s="28" t="str">
        <f t="shared" si="1"/>
        <v>rokwzgl=4 i lp=20</v>
      </c>
      <c r="J11" s="28" t="str">
        <f t="shared" si="1"/>
        <v>rokwzgl=5 i lp=20</v>
      </c>
      <c r="K11" s="28" t="str">
        <f t="shared" si="1"/>
        <v>rokwzgl=6 i lp=20</v>
      </c>
      <c r="L11" s="28" t="str">
        <f t="shared" si="1"/>
        <v>rokwzgl=7 i lp=20</v>
      </c>
      <c r="M11" s="28" t="str">
        <f t="shared" si="1"/>
        <v>rokwzgl=8 i lp=20</v>
      </c>
      <c r="N11" s="28" t="str">
        <f t="shared" si="2"/>
        <v>rokwzgl=9 i lp=20</v>
      </c>
      <c r="O11" s="28" t="str">
        <f t="shared" si="2"/>
        <v>rokwzgl=10 i lp=20</v>
      </c>
      <c r="P11" s="28" t="str">
        <f t="shared" si="2"/>
        <v>rokwzgl=11 i lp=20</v>
      </c>
      <c r="Q11" s="28" t="str">
        <f t="shared" si="2"/>
        <v>rokwzgl=12 i lp=20</v>
      </c>
      <c r="R11" s="28" t="str">
        <f t="shared" si="2"/>
        <v>rokwzgl=13 i lp=20</v>
      </c>
      <c r="S11" s="28" t="str">
        <f t="shared" si="2"/>
        <v>rokwzgl=14 i lp=20</v>
      </c>
      <c r="T11" s="28" t="str">
        <f t="shared" si="2"/>
        <v>rokwzgl=15 i lp=20</v>
      </c>
      <c r="U11" s="28" t="str">
        <f t="shared" si="2"/>
        <v>rokwzgl=16 i lp=20</v>
      </c>
      <c r="V11" s="28" t="str">
        <f t="shared" si="2"/>
        <v>rokwzgl=17 i lp=20</v>
      </c>
      <c r="W11" s="28" t="str">
        <f t="shared" si="2"/>
        <v>rokwzgl=18 i lp=20</v>
      </c>
      <c r="X11" s="28" t="str">
        <f t="shared" si="3"/>
        <v>rokwzgl=19 i lp=20</v>
      </c>
      <c r="Y11" s="28" t="str">
        <f t="shared" si="3"/>
        <v>rokwzgl=20 i lp=20</v>
      </c>
      <c r="Z11" s="28" t="str">
        <f t="shared" si="3"/>
        <v>rokwzgl=21 i lp=20</v>
      </c>
      <c r="AA11" s="28" t="str">
        <f t="shared" si="3"/>
        <v>rokwzgl=22 i lp=20</v>
      </c>
      <c r="AB11" s="28" t="str">
        <f t="shared" si="3"/>
        <v>rokwzgl=23 i lp=20</v>
      </c>
      <c r="AC11" s="28" t="str">
        <f t="shared" si="3"/>
        <v>rokwzgl=24 i lp=20</v>
      </c>
      <c r="AD11" s="28" t="str">
        <f t="shared" si="3"/>
        <v>rokwzgl=25 i lp=20</v>
      </c>
      <c r="AE11" s="28" t="str">
        <f t="shared" si="3"/>
        <v>rokwzgl=26 i lp=20</v>
      </c>
      <c r="AF11" s="28" t="str">
        <f t="shared" si="3"/>
        <v>rokwzgl=27 i lp=20</v>
      </c>
      <c r="AG11" s="28" t="str">
        <f t="shared" si="3"/>
        <v>rokwzgl=28 i lp=20</v>
      </c>
      <c r="AH11" s="28" t="str">
        <f t="shared" si="3"/>
        <v>rokwzgl=29 i lp=20</v>
      </c>
    </row>
    <row r="12" spans="1:34">
      <c r="A12" s="27">
        <v>30</v>
      </c>
      <c r="B12" s="27" t="s">
        <v>41</v>
      </c>
      <c r="C12" s="28" t="s">
        <v>42</v>
      </c>
      <c r="D12" s="28" t="str">
        <f t="shared" si="1"/>
        <v>rokwzgl=0 i lp=30</v>
      </c>
      <c r="E12" s="28" t="str">
        <f t="shared" si="1"/>
        <v>rokwzgl=0 i lp=30</v>
      </c>
      <c r="F12" s="28" t="str">
        <f t="shared" si="1"/>
        <v>rokwzgl=1 i lp=30</v>
      </c>
      <c r="G12" s="28" t="str">
        <f t="shared" si="1"/>
        <v>rokwzgl=2 i lp=30</v>
      </c>
      <c r="H12" s="28" t="str">
        <f t="shared" si="1"/>
        <v>rokwzgl=3 i lp=30</v>
      </c>
      <c r="I12" s="28" t="str">
        <f t="shared" si="1"/>
        <v>rokwzgl=4 i lp=30</v>
      </c>
      <c r="J12" s="28" t="str">
        <f t="shared" si="1"/>
        <v>rokwzgl=5 i lp=30</v>
      </c>
      <c r="K12" s="28" t="str">
        <f t="shared" si="1"/>
        <v>rokwzgl=6 i lp=30</v>
      </c>
      <c r="L12" s="28" t="str">
        <f t="shared" si="1"/>
        <v>rokwzgl=7 i lp=30</v>
      </c>
      <c r="M12" s="28" t="str">
        <f t="shared" si="1"/>
        <v>rokwzgl=8 i lp=30</v>
      </c>
      <c r="N12" s="28" t="str">
        <f t="shared" si="2"/>
        <v>rokwzgl=9 i lp=30</v>
      </c>
      <c r="O12" s="28" t="str">
        <f t="shared" si="2"/>
        <v>rokwzgl=10 i lp=30</v>
      </c>
      <c r="P12" s="28" t="str">
        <f t="shared" si="2"/>
        <v>rokwzgl=11 i lp=30</v>
      </c>
      <c r="Q12" s="28" t="str">
        <f t="shared" si="2"/>
        <v>rokwzgl=12 i lp=30</v>
      </c>
      <c r="R12" s="28" t="str">
        <f t="shared" si="2"/>
        <v>rokwzgl=13 i lp=30</v>
      </c>
      <c r="S12" s="28" t="str">
        <f t="shared" si="2"/>
        <v>rokwzgl=14 i lp=30</v>
      </c>
      <c r="T12" s="28" t="str">
        <f t="shared" si="2"/>
        <v>rokwzgl=15 i lp=30</v>
      </c>
      <c r="U12" s="28" t="str">
        <f t="shared" si="2"/>
        <v>rokwzgl=16 i lp=30</v>
      </c>
      <c r="V12" s="28" t="str">
        <f t="shared" si="2"/>
        <v>rokwzgl=17 i lp=30</v>
      </c>
      <c r="W12" s="28" t="str">
        <f t="shared" si="2"/>
        <v>rokwzgl=18 i lp=30</v>
      </c>
      <c r="X12" s="28" t="str">
        <f t="shared" si="3"/>
        <v>rokwzgl=19 i lp=30</v>
      </c>
      <c r="Y12" s="28" t="str">
        <f t="shared" si="3"/>
        <v>rokwzgl=20 i lp=30</v>
      </c>
      <c r="Z12" s="28" t="str">
        <f t="shared" si="3"/>
        <v>rokwzgl=21 i lp=30</v>
      </c>
      <c r="AA12" s="28" t="str">
        <f t="shared" si="3"/>
        <v>rokwzgl=22 i lp=30</v>
      </c>
      <c r="AB12" s="28" t="str">
        <f t="shared" si="3"/>
        <v>rokwzgl=23 i lp=30</v>
      </c>
      <c r="AC12" s="28" t="str">
        <f t="shared" si="3"/>
        <v>rokwzgl=24 i lp=30</v>
      </c>
      <c r="AD12" s="28" t="str">
        <f t="shared" si="3"/>
        <v>rokwzgl=25 i lp=30</v>
      </c>
      <c r="AE12" s="28" t="str">
        <f t="shared" si="3"/>
        <v>rokwzgl=26 i lp=30</v>
      </c>
      <c r="AF12" s="28" t="str">
        <f t="shared" si="3"/>
        <v>rokwzgl=27 i lp=30</v>
      </c>
      <c r="AG12" s="28" t="str">
        <f t="shared" si="3"/>
        <v>rokwzgl=28 i lp=30</v>
      </c>
      <c r="AH12" s="28" t="str">
        <f t="shared" si="3"/>
        <v>rokwzgl=29 i lp=30</v>
      </c>
    </row>
    <row r="13" spans="1:34">
      <c r="A13" s="27">
        <v>40</v>
      </c>
      <c r="B13" s="27" t="s">
        <v>43</v>
      </c>
      <c r="C13" s="28" t="s">
        <v>44</v>
      </c>
      <c r="D13" s="28" t="str">
        <f t="shared" si="1"/>
        <v>rokwzgl=0 i lp=40</v>
      </c>
      <c r="E13" s="28" t="str">
        <f t="shared" si="1"/>
        <v>rokwzgl=0 i lp=40</v>
      </c>
      <c r="F13" s="28" t="str">
        <f t="shared" si="1"/>
        <v>rokwzgl=1 i lp=40</v>
      </c>
      <c r="G13" s="28" t="str">
        <f t="shared" si="1"/>
        <v>rokwzgl=2 i lp=40</v>
      </c>
      <c r="H13" s="28" t="str">
        <f t="shared" si="1"/>
        <v>rokwzgl=3 i lp=40</v>
      </c>
      <c r="I13" s="28" t="str">
        <f t="shared" si="1"/>
        <v>rokwzgl=4 i lp=40</v>
      </c>
      <c r="J13" s="28" t="str">
        <f t="shared" si="1"/>
        <v>rokwzgl=5 i lp=40</v>
      </c>
      <c r="K13" s="28" t="str">
        <f t="shared" si="1"/>
        <v>rokwzgl=6 i lp=40</v>
      </c>
      <c r="L13" s="28" t="str">
        <f t="shared" si="1"/>
        <v>rokwzgl=7 i lp=40</v>
      </c>
      <c r="M13" s="28" t="str">
        <f t="shared" si="1"/>
        <v>rokwzgl=8 i lp=40</v>
      </c>
      <c r="N13" s="28" t="str">
        <f t="shared" si="2"/>
        <v>rokwzgl=9 i lp=40</v>
      </c>
      <c r="O13" s="28" t="str">
        <f t="shared" si="2"/>
        <v>rokwzgl=10 i lp=40</v>
      </c>
      <c r="P13" s="28" t="str">
        <f t="shared" si="2"/>
        <v>rokwzgl=11 i lp=40</v>
      </c>
      <c r="Q13" s="28" t="str">
        <f t="shared" si="2"/>
        <v>rokwzgl=12 i lp=40</v>
      </c>
      <c r="R13" s="28" t="str">
        <f t="shared" si="2"/>
        <v>rokwzgl=13 i lp=40</v>
      </c>
      <c r="S13" s="28" t="str">
        <f t="shared" si="2"/>
        <v>rokwzgl=14 i lp=40</v>
      </c>
      <c r="T13" s="28" t="str">
        <f t="shared" si="2"/>
        <v>rokwzgl=15 i lp=40</v>
      </c>
      <c r="U13" s="28" t="str">
        <f t="shared" si="2"/>
        <v>rokwzgl=16 i lp=40</v>
      </c>
      <c r="V13" s="28" t="str">
        <f t="shared" si="2"/>
        <v>rokwzgl=17 i lp=40</v>
      </c>
      <c r="W13" s="28" t="str">
        <f t="shared" si="2"/>
        <v>rokwzgl=18 i lp=40</v>
      </c>
      <c r="X13" s="28" t="str">
        <f t="shared" si="3"/>
        <v>rokwzgl=19 i lp=40</v>
      </c>
      <c r="Y13" s="28" t="str">
        <f t="shared" si="3"/>
        <v>rokwzgl=20 i lp=40</v>
      </c>
      <c r="Z13" s="28" t="str">
        <f t="shared" si="3"/>
        <v>rokwzgl=21 i lp=40</v>
      </c>
      <c r="AA13" s="28" t="str">
        <f t="shared" si="3"/>
        <v>rokwzgl=22 i lp=40</v>
      </c>
      <c r="AB13" s="28" t="str">
        <f t="shared" si="3"/>
        <v>rokwzgl=23 i lp=40</v>
      </c>
      <c r="AC13" s="28" t="str">
        <f t="shared" si="3"/>
        <v>rokwzgl=24 i lp=40</v>
      </c>
      <c r="AD13" s="28" t="str">
        <f t="shared" si="3"/>
        <v>rokwzgl=25 i lp=40</v>
      </c>
      <c r="AE13" s="28" t="str">
        <f t="shared" si="3"/>
        <v>rokwzgl=26 i lp=40</v>
      </c>
      <c r="AF13" s="28" t="str">
        <f t="shared" si="3"/>
        <v>rokwzgl=27 i lp=40</v>
      </c>
      <c r="AG13" s="28" t="str">
        <f t="shared" si="3"/>
        <v>rokwzgl=28 i lp=40</v>
      </c>
      <c r="AH13" s="28" t="str">
        <f t="shared" si="3"/>
        <v>rokwzgl=29 i lp=40</v>
      </c>
    </row>
    <row r="14" spans="1:34">
      <c r="A14" s="27">
        <v>50</v>
      </c>
      <c r="B14" s="27" t="s">
        <v>45</v>
      </c>
      <c r="C14" s="28" t="s">
        <v>46</v>
      </c>
      <c r="D14" s="28" t="str">
        <f t="shared" si="1"/>
        <v>rokwzgl=0 i lp=50</v>
      </c>
      <c r="E14" s="28" t="str">
        <f t="shared" si="1"/>
        <v>rokwzgl=0 i lp=50</v>
      </c>
      <c r="F14" s="28" t="str">
        <f t="shared" si="1"/>
        <v>rokwzgl=1 i lp=50</v>
      </c>
      <c r="G14" s="28" t="str">
        <f t="shared" si="1"/>
        <v>rokwzgl=2 i lp=50</v>
      </c>
      <c r="H14" s="28" t="str">
        <f t="shared" si="1"/>
        <v>rokwzgl=3 i lp=50</v>
      </c>
      <c r="I14" s="28" t="str">
        <f t="shared" si="1"/>
        <v>rokwzgl=4 i lp=50</v>
      </c>
      <c r="J14" s="28" t="str">
        <f t="shared" si="1"/>
        <v>rokwzgl=5 i lp=50</v>
      </c>
      <c r="K14" s="28" t="str">
        <f t="shared" si="1"/>
        <v>rokwzgl=6 i lp=50</v>
      </c>
      <c r="L14" s="28" t="str">
        <f t="shared" si="1"/>
        <v>rokwzgl=7 i lp=50</v>
      </c>
      <c r="M14" s="28" t="str">
        <f t="shared" si="1"/>
        <v>rokwzgl=8 i lp=50</v>
      </c>
      <c r="N14" s="28" t="str">
        <f t="shared" si="2"/>
        <v>rokwzgl=9 i lp=50</v>
      </c>
      <c r="O14" s="28" t="str">
        <f t="shared" si="2"/>
        <v>rokwzgl=10 i lp=50</v>
      </c>
      <c r="P14" s="28" t="str">
        <f t="shared" si="2"/>
        <v>rokwzgl=11 i lp=50</v>
      </c>
      <c r="Q14" s="28" t="str">
        <f t="shared" si="2"/>
        <v>rokwzgl=12 i lp=50</v>
      </c>
      <c r="R14" s="28" t="str">
        <f t="shared" si="2"/>
        <v>rokwzgl=13 i lp=50</v>
      </c>
      <c r="S14" s="28" t="str">
        <f t="shared" si="2"/>
        <v>rokwzgl=14 i lp=50</v>
      </c>
      <c r="T14" s="28" t="str">
        <f t="shared" si="2"/>
        <v>rokwzgl=15 i lp=50</v>
      </c>
      <c r="U14" s="28" t="str">
        <f t="shared" si="2"/>
        <v>rokwzgl=16 i lp=50</v>
      </c>
      <c r="V14" s="28" t="str">
        <f t="shared" si="2"/>
        <v>rokwzgl=17 i lp=50</v>
      </c>
      <c r="W14" s="28" t="str">
        <f t="shared" si="2"/>
        <v>rokwzgl=18 i lp=50</v>
      </c>
      <c r="X14" s="28" t="str">
        <f t="shared" si="3"/>
        <v>rokwzgl=19 i lp=50</v>
      </c>
      <c r="Y14" s="28" t="str">
        <f t="shared" si="3"/>
        <v>rokwzgl=20 i lp=50</v>
      </c>
      <c r="Z14" s="28" t="str">
        <f t="shared" si="3"/>
        <v>rokwzgl=21 i lp=50</v>
      </c>
      <c r="AA14" s="28" t="str">
        <f t="shared" si="3"/>
        <v>rokwzgl=22 i lp=50</v>
      </c>
      <c r="AB14" s="28" t="str">
        <f t="shared" si="3"/>
        <v>rokwzgl=23 i lp=50</v>
      </c>
      <c r="AC14" s="28" t="str">
        <f t="shared" si="3"/>
        <v>rokwzgl=24 i lp=50</v>
      </c>
      <c r="AD14" s="28" t="str">
        <f t="shared" si="3"/>
        <v>rokwzgl=25 i lp=50</v>
      </c>
      <c r="AE14" s="28" t="str">
        <f t="shared" si="3"/>
        <v>rokwzgl=26 i lp=50</v>
      </c>
      <c r="AF14" s="28" t="str">
        <f t="shared" si="3"/>
        <v>rokwzgl=27 i lp=50</v>
      </c>
      <c r="AG14" s="28" t="str">
        <f t="shared" si="3"/>
        <v>rokwzgl=28 i lp=50</v>
      </c>
      <c r="AH14" s="28" t="str">
        <f t="shared" si="3"/>
        <v>rokwzgl=29 i lp=50</v>
      </c>
    </row>
    <row r="15" spans="1:34">
      <c r="A15" s="27">
        <v>60</v>
      </c>
      <c r="B15" s="27" t="s">
        <v>47</v>
      </c>
      <c r="C15" s="28" t="s">
        <v>48</v>
      </c>
      <c r="D15" s="28" t="str">
        <f t="shared" si="1"/>
        <v>rokwzgl=0 i lp=60</v>
      </c>
      <c r="E15" s="28" t="str">
        <f t="shared" si="1"/>
        <v>rokwzgl=0 i lp=60</v>
      </c>
      <c r="F15" s="28" t="str">
        <f t="shared" si="1"/>
        <v>rokwzgl=1 i lp=60</v>
      </c>
      <c r="G15" s="28" t="str">
        <f t="shared" si="1"/>
        <v>rokwzgl=2 i lp=60</v>
      </c>
      <c r="H15" s="28" t="str">
        <f t="shared" si="1"/>
        <v>rokwzgl=3 i lp=60</v>
      </c>
      <c r="I15" s="28" t="str">
        <f t="shared" si="1"/>
        <v>rokwzgl=4 i lp=60</v>
      </c>
      <c r="J15" s="28" t="str">
        <f t="shared" si="1"/>
        <v>rokwzgl=5 i lp=60</v>
      </c>
      <c r="K15" s="28" t="str">
        <f t="shared" si="1"/>
        <v>rokwzgl=6 i lp=60</v>
      </c>
      <c r="L15" s="28" t="str">
        <f t="shared" si="1"/>
        <v>rokwzgl=7 i lp=60</v>
      </c>
      <c r="M15" s="28" t="str">
        <f t="shared" si="1"/>
        <v>rokwzgl=8 i lp=60</v>
      </c>
      <c r="N15" s="28" t="str">
        <f t="shared" si="2"/>
        <v>rokwzgl=9 i lp=60</v>
      </c>
      <c r="O15" s="28" t="str">
        <f t="shared" si="2"/>
        <v>rokwzgl=10 i lp=60</v>
      </c>
      <c r="P15" s="28" t="str">
        <f t="shared" si="2"/>
        <v>rokwzgl=11 i lp=60</v>
      </c>
      <c r="Q15" s="28" t="str">
        <f t="shared" si="2"/>
        <v>rokwzgl=12 i lp=60</v>
      </c>
      <c r="R15" s="28" t="str">
        <f t="shared" si="2"/>
        <v>rokwzgl=13 i lp=60</v>
      </c>
      <c r="S15" s="28" t="str">
        <f t="shared" si="2"/>
        <v>rokwzgl=14 i lp=60</v>
      </c>
      <c r="T15" s="28" t="str">
        <f t="shared" si="2"/>
        <v>rokwzgl=15 i lp=60</v>
      </c>
      <c r="U15" s="28" t="str">
        <f t="shared" si="2"/>
        <v>rokwzgl=16 i lp=60</v>
      </c>
      <c r="V15" s="28" t="str">
        <f t="shared" si="2"/>
        <v>rokwzgl=17 i lp=60</v>
      </c>
      <c r="W15" s="28" t="str">
        <f t="shared" si="2"/>
        <v>rokwzgl=18 i lp=60</v>
      </c>
      <c r="X15" s="28" t="str">
        <f t="shared" si="3"/>
        <v>rokwzgl=19 i lp=60</v>
      </c>
      <c r="Y15" s="28" t="str">
        <f t="shared" si="3"/>
        <v>rokwzgl=20 i lp=60</v>
      </c>
      <c r="Z15" s="28" t="str">
        <f t="shared" si="3"/>
        <v>rokwzgl=21 i lp=60</v>
      </c>
      <c r="AA15" s="28" t="str">
        <f t="shared" si="3"/>
        <v>rokwzgl=22 i lp=60</v>
      </c>
      <c r="AB15" s="28" t="str">
        <f t="shared" si="3"/>
        <v>rokwzgl=23 i lp=60</v>
      </c>
      <c r="AC15" s="28" t="str">
        <f t="shared" si="3"/>
        <v>rokwzgl=24 i lp=60</v>
      </c>
      <c r="AD15" s="28" t="str">
        <f t="shared" si="3"/>
        <v>rokwzgl=25 i lp=60</v>
      </c>
      <c r="AE15" s="28" t="str">
        <f t="shared" si="3"/>
        <v>rokwzgl=26 i lp=60</v>
      </c>
      <c r="AF15" s="28" t="str">
        <f t="shared" si="3"/>
        <v>rokwzgl=27 i lp=60</v>
      </c>
      <c r="AG15" s="28" t="str">
        <f t="shared" si="3"/>
        <v>rokwzgl=28 i lp=60</v>
      </c>
      <c r="AH15" s="28" t="str">
        <f t="shared" si="3"/>
        <v>rokwzgl=29 i lp=60</v>
      </c>
    </row>
    <row r="16" spans="1:34">
      <c r="A16" s="27">
        <v>70</v>
      </c>
      <c r="B16" s="27" t="s">
        <v>49</v>
      </c>
      <c r="C16" s="28" t="s">
        <v>50</v>
      </c>
      <c r="D16" s="28" t="str">
        <f t="shared" si="1"/>
        <v>rokwzgl=0 i lp=70</v>
      </c>
      <c r="E16" s="28" t="str">
        <f t="shared" si="1"/>
        <v>rokwzgl=0 i lp=70</v>
      </c>
      <c r="F16" s="28" t="str">
        <f t="shared" si="1"/>
        <v>rokwzgl=1 i lp=70</v>
      </c>
      <c r="G16" s="28" t="str">
        <f t="shared" si="1"/>
        <v>rokwzgl=2 i lp=70</v>
      </c>
      <c r="H16" s="28" t="str">
        <f t="shared" si="1"/>
        <v>rokwzgl=3 i lp=70</v>
      </c>
      <c r="I16" s="28" t="str">
        <f t="shared" si="1"/>
        <v>rokwzgl=4 i lp=70</v>
      </c>
      <c r="J16" s="28" t="str">
        <f t="shared" si="1"/>
        <v>rokwzgl=5 i lp=70</v>
      </c>
      <c r="K16" s="28" t="str">
        <f t="shared" si="1"/>
        <v>rokwzgl=6 i lp=70</v>
      </c>
      <c r="L16" s="28" t="str">
        <f t="shared" si="1"/>
        <v>rokwzgl=7 i lp=70</v>
      </c>
      <c r="M16" s="28" t="str">
        <f t="shared" si="1"/>
        <v>rokwzgl=8 i lp=70</v>
      </c>
      <c r="N16" s="28" t="str">
        <f t="shared" si="2"/>
        <v>rokwzgl=9 i lp=70</v>
      </c>
      <c r="O16" s="28" t="str">
        <f t="shared" si="2"/>
        <v>rokwzgl=10 i lp=70</v>
      </c>
      <c r="P16" s="28" t="str">
        <f t="shared" si="2"/>
        <v>rokwzgl=11 i lp=70</v>
      </c>
      <c r="Q16" s="28" t="str">
        <f t="shared" si="2"/>
        <v>rokwzgl=12 i lp=70</v>
      </c>
      <c r="R16" s="28" t="str">
        <f t="shared" si="2"/>
        <v>rokwzgl=13 i lp=70</v>
      </c>
      <c r="S16" s="28" t="str">
        <f t="shared" si="2"/>
        <v>rokwzgl=14 i lp=70</v>
      </c>
      <c r="T16" s="28" t="str">
        <f t="shared" si="2"/>
        <v>rokwzgl=15 i lp=70</v>
      </c>
      <c r="U16" s="28" t="str">
        <f t="shared" si="2"/>
        <v>rokwzgl=16 i lp=70</v>
      </c>
      <c r="V16" s="28" t="str">
        <f t="shared" si="2"/>
        <v>rokwzgl=17 i lp=70</v>
      </c>
      <c r="W16" s="28" t="str">
        <f t="shared" si="2"/>
        <v>rokwzgl=18 i lp=70</v>
      </c>
      <c r="X16" s="28" t="str">
        <f t="shared" si="3"/>
        <v>rokwzgl=19 i lp=70</v>
      </c>
      <c r="Y16" s="28" t="str">
        <f t="shared" si="3"/>
        <v>rokwzgl=20 i lp=70</v>
      </c>
      <c r="Z16" s="28" t="str">
        <f t="shared" si="3"/>
        <v>rokwzgl=21 i lp=70</v>
      </c>
      <c r="AA16" s="28" t="str">
        <f t="shared" si="3"/>
        <v>rokwzgl=22 i lp=70</v>
      </c>
      <c r="AB16" s="28" t="str">
        <f t="shared" si="3"/>
        <v>rokwzgl=23 i lp=70</v>
      </c>
      <c r="AC16" s="28" t="str">
        <f t="shared" si="3"/>
        <v>rokwzgl=24 i lp=70</v>
      </c>
      <c r="AD16" s="28" t="str">
        <f t="shared" si="3"/>
        <v>rokwzgl=25 i lp=70</v>
      </c>
      <c r="AE16" s="28" t="str">
        <f t="shared" si="3"/>
        <v>rokwzgl=26 i lp=70</v>
      </c>
      <c r="AF16" s="28" t="str">
        <f t="shared" si="3"/>
        <v>rokwzgl=27 i lp=70</v>
      </c>
      <c r="AG16" s="28" t="str">
        <f t="shared" si="3"/>
        <v>rokwzgl=28 i lp=70</v>
      </c>
      <c r="AH16" s="28" t="str">
        <f t="shared" si="3"/>
        <v>rokwzgl=29 i lp=70</v>
      </c>
    </row>
    <row r="17" spans="1:34">
      <c r="A17" s="27">
        <v>80</v>
      </c>
      <c r="B17" s="27" t="s">
        <v>51</v>
      </c>
      <c r="C17" s="28" t="s">
        <v>52</v>
      </c>
      <c r="D17" s="28" t="str">
        <f t="shared" si="1"/>
        <v>rokwzgl=0 i lp=80</v>
      </c>
      <c r="E17" s="28" t="str">
        <f t="shared" si="1"/>
        <v>rokwzgl=0 i lp=80</v>
      </c>
      <c r="F17" s="28" t="str">
        <f t="shared" si="1"/>
        <v>rokwzgl=1 i lp=80</v>
      </c>
      <c r="G17" s="28" t="str">
        <f t="shared" si="1"/>
        <v>rokwzgl=2 i lp=80</v>
      </c>
      <c r="H17" s="28" t="str">
        <f t="shared" si="1"/>
        <v>rokwzgl=3 i lp=80</v>
      </c>
      <c r="I17" s="28" t="str">
        <f t="shared" si="1"/>
        <v>rokwzgl=4 i lp=80</v>
      </c>
      <c r="J17" s="28" t="str">
        <f t="shared" si="1"/>
        <v>rokwzgl=5 i lp=80</v>
      </c>
      <c r="K17" s="28" t="str">
        <f t="shared" si="1"/>
        <v>rokwzgl=6 i lp=80</v>
      </c>
      <c r="L17" s="28" t="str">
        <f t="shared" si="1"/>
        <v>rokwzgl=7 i lp=80</v>
      </c>
      <c r="M17" s="28" t="str">
        <f t="shared" si="1"/>
        <v>rokwzgl=8 i lp=80</v>
      </c>
      <c r="N17" s="28" t="str">
        <f t="shared" si="2"/>
        <v>rokwzgl=9 i lp=80</v>
      </c>
      <c r="O17" s="28" t="str">
        <f t="shared" si="2"/>
        <v>rokwzgl=10 i lp=80</v>
      </c>
      <c r="P17" s="28" t="str">
        <f t="shared" si="2"/>
        <v>rokwzgl=11 i lp=80</v>
      </c>
      <c r="Q17" s="28" t="str">
        <f t="shared" si="2"/>
        <v>rokwzgl=12 i lp=80</v>
      </c>
      <c r="R17" s="28" t="str">
        <f t="shared" si="2"/>
        <v>rokwzgl=13 i lp=80</v>
      </c>
      <c r="S17" s="28" t="str">
        <f t="shared" si="2"/>
        <v>rokwzgl=14 i lp=80</v>
      </c>
      <c r="T17" s="28" t="str">
        <f t="shared" si="2"/>
        <v>rokwzgl=15 i lp=80</v>
      </c>
      <c r="U17" s="28" t="str">
        <f t="shared" si="2"/>
        <v>rokwzgl=16 i lp=80</v>
      </c>
      <c r="V17" s="28" t="str">
        <f t="shared" si="2"/>
        <v>rokwzgl=17 i lp=80</v>
      </c>
      <c r="W17" s="28" t="str">
        <f t="shared" si="2"/>
        <v>rokwzgl=18 i lp=80</v>
      </c>
      <c r="X17" s="28" t="str">
        <f t="shared" si="3"/>
        <v>rokwzgl=19 i lp=80</v>
      </c>
      <c r="Y17" s="28" t="str">
        <f t="shared" si="3"/>
        <v>rokwzgl=20 i lp=80</v>
      </c>
      <c r="Z17" s="28" t="str">
        <f t="shared" si="3"/>
        <v>rokwzgl=21 i lp=80</v>
      </c>
      <c r="AA17" s="28" t="str">
        <f t="shared" si="3"/>
        <v>rokwzgl=22 i lp=80</v>
      </c>
      <c r="AB17" s="28" t="str">
        <f t="shared" si="3"/>
        <v>rokwzgl=23 i lp=80</v>
      </c>
      <c r="AC17" s="28" t="str">
        <f t="shared" si="3"/>
        <v>rokwzgl=24 i lp=80</v>
      </c>
      <c r="AD17" s="28" t="str">
        <f t="shared" si="3"/>
        <v>rokwzgl=25 i lp=80</v>
      </c>
      <c r="AE17" s="28" t="str">
        <f t="shared" si="3"/>
        <v>rokwzgl=26 i lp=80</v>
      </c>
      <c r="AF17" s="28" t="str">
        <f t="shared" si="3"/>
        <v>rokwzgl=27 i lp=80</v>
      </c>
      <c r="AG17" s="28" t="str">
        <f t="shared" si="3"/>
        <v>rokwzgl=28 i lp=80</v>
      </c>
      <c r="AH17" s="28" t="str">
        <f t="shared" si="3"/>
        <v>rokwzgl=29 i lp=80</v>
      </c>
    </row>
    <row r="18" spans="1:34">
      <c r="A18" s="27">
        <v>90</v>
      </c>
      <c r="B18" s="27" t="s">
        <v>137</v>
      </c>
      <c r="C18" s="28" t="s">
        <v>53</v>
      </c>
      <c r="D18" s="28" t="str">
        <f t="shared" si="1"/>
        <v>rokwzgl=0 i lp=90</v>
      </c>
      <c r="E18" s="28" t="str">
        <f t="shared" si="1"/>
        <v>rokwzgl=0 i lp=90</v>
      </c>
      <c r="F18" s="28" t="str">
        <f t="shared" si="1"/>
        <v>rokwzgl=1 i lp=90</v>
      </c>
      <c r="G18" s="28" t="str">
        <f t="shared" si="1"/>
        <v>rokwzgl=2 i lp=90</v>
      </c>
      <c r="H18" s="28" t="str">
        <f t="shared" si="1"/>
        <v>rokwzgl=3 i lp=90</v>
      </c>
      <c r="I18" s="28" t="str">
        <f t="shared" si="1"/>
        <v>rokwzgl=4 i lp=90</v>
      </c>
      <c r="J18" s="28" t="str">
        <f t="shared" si="1"/>
        <v>rokwzgl=5 i lp=90</v>
      </c>
      <c r="K18" s="28" t="str">
        <f t="shared" si="1"/>
        <v>rokwzgl=6 i lp=90</v>
      </c>
      <c r="L18" s="28" t="str">
        <f t="shared" si="1"/>
        <v>rokwzgl=7 i lp=90</v>
      </c>
      <c r="M18" s="28" t="str">
        <f t="shared" si="1"/>
        <v>rokwzgl=8 i lp=90</v>
      </c>
      <c r="N18" s="28" t="str">
        <f t="shared" si="2"/>
        <v>rokwzgl=9 i lp=90</v>
      </c>
      <c r="O18" s="28" t="str">
        <f t="shared" si="2"/>
        <v>rokwzgl=10 i lp=90</v>
      </c>
      <c r="P18" s="28" t="str">
        <f t="shared" si="2"/>
        <v>rokwzgl=11 i lp=90</v>
      </c>
      <c r="Q18" s="28" t="str">
        <f t="shared" si="2"/>
        <v>rokwzgl=12 i lp=90</v>
      </c>
      <c r="R18" s="28" t="str">
        <f t="shared" si="2"/>
        <v>rokwzgl=13 i lp=90</v>
      </c>
      <c r="S18" s="28" t="str">
        <f t="shared" si="2"/>
        <v>rokwzgl=14 i lp=90</v>
      </c>
      <c r="T18" s="28" t="str">
        <f t="shared" si="2"/>
        <v>rokwzgl=15 i lp=90</v>
      </c>
      <c r="U18" s="28" t="str">
        <f t="shared" si="2"/>
        <v>rokwzgl=16 i lp=90</v>
      </c>
      <c r="V18" s="28" t="str">
        <f t="shared" si="2"/>
        <v>rokwzgl=17 i lp=90</v>
      </c>
      <c r="W18" s="28" t="str">
        <f t="shared" si="2"/>
        <v>rokwzgl=18 i lp=90</v>
      </c>
      <c r="X18" s="28" t="str">
        <f t="shared" si="3"/>
        <v>rokwzgl=19 i lp=90</v>
      </c>
      <c r="Y18" s="28" t="str">
        <f t="shared" si="3"/>
        <v>rokwzgl=20 i lp=90</v>
      </c>
      <c r="Z18" s="28" t="str">
        <f t="shared" si="3"/>
        <v>rokwzgl=21 i lp=90</v>
      </c>
      <c r="AA18" s="28" t="str">
        <f t="shared" si="3"/>
        <v>rokwzgl=22 i lp=90</v>
      </c>
      <c r="AB18" s="28" t="str">
        <f t="shared" si="3"/>
        <v>rokwzgl=23 i lp=90</v>
      </c>
      <c r="AC18" s="28" t="str">
        <f t="shared" si="3"/>
        <v>rokwzgl=24 i lp=90</v>
      </c>
      <c r="AD18" s="28" t="str">
        <f t="shared" si="3"/>
        <v>rokwzgl=25 i lp=90</v>
      </c>
      <c r="AE18" s="28" t="str">
        <f t="shared" si="3"/>
        <v>rokwzgl=26 i lp=90</v>
      </c>
      <c r="AF18" s="28" t="str">
        <f t="shared" si="3"/>
        <v>rokwzgl=27 i lp=90</v>
      </c>
      <c r="AG18" s="28" t="str">
        <f t="shared" si="3"/>
        <v>rokwzgl=28 i lp=90</v>
      </c>
      <c r="AH18" s="28" t="str">
        <f t="shared" si="3"/>
        <v>rokwzgl=29 i lp=90</v>
      </c>
    </row>
    <row r="19" spans="1:34">
      <c r="A19" s="27">
        <v>100</v>
      </c>
      <c r="B19" s="27" t="s">
        <v>54</v>
      </c>
      <c r="C19" s="28" t="s">
        <v>55</v>
      </c>
      <c r="D19" s="28" t="str">
        <f t="shared" si="1"/>
        <v>rokwzgl=0 i lp=100</v>
      </c>
      <c r="E19" s="28" t="str">
        <f t="shared" si="1"/>
        <v>rokwzgl=0 i lp=100</v>
      </c>
      <c r="F19" s="28" t="str">
        <f t="shared" si="1"/>
        <v>rokwzgl=1 i lp=100</v>
      </c>
      <c r="G19" s="28" t="str">
        <f t="shared" si="1"/>
        <v>rokwzgl=2 i lp=100</v>
      </c>
      <c r="H19" s="28" t="str">
        <f t="shared" si="1"/>
        <v>rokwzgl=3 i lp=100</v>
      </c>
      <c r="I19" s="28" t="str">
        <f t="shared" si="1"/>
        <v>rokwzgl=4 i lp=100</v>
      </c>
      <c r="J19" s="28" t="str">
        <f t="shared" si="1"/>
        <v>rokwzgl=5 i lp=100</v>
      </c>
      <c r="K19" s="28" t="str">
        <f t="shared" si="1"/>
        <v>rokwzgl=6 i lp=100</v>
      </c>
      <c r="L19" s="28" t="str">
        <f t="shared" si="1"/>
        <v>rokwzgl=7 i lp=100</v>
      </c>
      <c r="M19" s="28" t="str">
        <f t="shared" si="1"/>
        <v>rokwzgl=8 i lp=100</v>
      </c>
      <c r="N19" s="28" t="str">
        <f t="shared" si="2"/>
        <v>rokwzgl=9 i lp=100</v>
      </c>
      <c r="O19" s="28" t="str">
        <f t="shared" si="2"/>
        <v>rokwzgl=10 i lp=100</v>
      </c>
      <c r="P19" s="28" t="str">
        <f t="shared" si="2"/>
        <v>rokwzgl=11 i lp=100</v>
      </c>
      <c r="Q19" s="28" t="str">
        <f t="shared" si="2"/>
        <v>rokwzgl=12 i lp=100</v>
      </c>
      <c r="R19" s="28" t="str">
        <f t="shared" si="2"/>
        <v>rokwzgl=13 i lp=100</v>
      </c>
      <c r="S19" s="28" t="str">
        <f t="shared" si="2"/>
        <v>rokwzgl=14 i lp=100</v>
      </c>
      <c r="T19" s="28" t="str">
        <f t="shared" si="2"/>
        <v>rokwzgl=15 i lp=100</v>
      </c>
      <c r="U19" s="28" t="str">
        <f t="shared" si="2"/>
        <v>rokwzgl=16 i lp=100</v>
      </c>
      <c r="V19" s="28" t="str">
        <f t="shared" si="2"/>
        <v>rokwzgl=17 i lp=100</v>
      </c>
      <c r="W19" s="28" t="str">
        <f t="shared" si="2"/>
        <v>rokwzgl=18 i lp=100</v>
      </c>
      <c r="X19" s="28" t="str">
        <f t="shared" si="3"/>
        <v>rokwzgl=19 i lp=100</v>
      </c>
      <c r="Y19" s="28" t="str">
        <f t="shared" si="3"/>
        <v>rokwzgl=20 i lp=100</v>
      </c>
      <c r="Z19" s="28" t="str">
        <f t="shared" si="3"/>
        <v>rokwzgl=21 i lp=100</v>
      </c>
      <c r="AA19" s="28" t="str">
        <f t="shared" si="3"/>
        <v>rokwzgl=22 i lp=100</v>
      </c>
      <c r="AB19" s="28" t="str">
        <f t="shared" si="3"/>
        <v>rokwzgl=23 i lp=100</v>
      </c>
      <c r="AC19" s="28" t="str">
        <f t="shared" si="3"/>
        <v>rokwzgl=24 i lp=100</v>
      </c>
      <c r="AD19" s="28" t="str">
        <f t="shared" si="3"/>
        <v>rokwzgl=25 i lp=100</v>
      </c>
      <c r="AE19" s="28" t="str">
        <f t="shared" si="3"/>
        <v>rokwzgl=26 i lp=100</v>
      </c>
      <c r="AF19" s="28" t="str">
        <f t="shared" si="3"/>
        <v>rokwzgl=27 i lp=100</v>
      </c>
      <c r="AG19" s="28" t="str">
        <f t="shared" si="3"/>
        <v>rokwzgl=28 i lp=100</v>
      </c>
      <c r="AH19" s="28" t="str">
        <f t="shared" si="3"/>
        <v>rokwzgl=29 i lp=100</v>
      </c>
    </row>
    <row r="20" spans="1:34">
      <c r="A20" s="27">
        <v>110</v>
      </c>
      <c r="B20" s="27" t="s">
        <v>56</v>
      </c>
      <c r="C20" s="28" t="s">
        <v>57</v>
      </c>
      <c r="D20" s="28" t="str">
        <f t="shared" ref="D20:M35" si="4">+"rokwzgl="&amp;D$9&amp;" i lp="&amp;$A20</f>
        <v>rokwzgl=0 i lp=110</v>
      </c>
      <c r="E20" s="28" t="str">
        <f t="shared" si="4"/>
        <v>rokwzgl=0 i lp=110</v>
      </c>
      <c r="F20" s="28" t="str">
        <f t="shared" si="4"/>
        <v>rokwzgl=1 i lp=110</v>
      </c>
      <c r="G20" s="28" t="str">
        <f t="shared" si="4"/>
        <v>rokwzgl=2 i lp=110</v>
      </c>
      <c r="H20" s="28" t="str">
        <f t="shared" si="4"/>
        <v>rokwzgl=3 i lp=110</v>
      </c>
      <c r="I20" s="28" t="str">
        <f t="shared" si="4"/>
        <v>rokwzgl=4 i lp=110</v>
      </c>
      <c r="J20" s="28" t="str">
        <f t="shared" si="4"/>
        <v>rokwzgl=5 i lp=110</v>
      </c>
      <c r="K20" s="28" t="str">
        <f t="shared" si="4"/>
        <v>rokwzgl=6 i lp=110</v>
      </c>
      <c r="L20" s="28" t="str">
        <f t="shared" si="4"/>
        <v>rokwzgl=7 i lp=110</v>
      </c>
      <c r="M20" s="28" t="str">
        <f t="shared" si="4"/>
        <v>rokwzgl=8 i lp=110</v>
      </c>
      <c r="N20" s="28" t="str">
        <f t="shared" ref="N20:W35" si="5">+"rokwzgl="&amp;N$9&amp;" i lp="&amp;$A20</f>
        <v>rokwzgl=9 i lp=110</v>
      </c>
      <c r="O20" s="28" t="str">
        <f t="shared" si="5"/>
        <v>rokwzgl=10 i lp=110</v>
      </c>
      <c r="P20" s="28" t="str">
        <f t="shared" si="5"/>
        <v>rokwzgl=11 i lp=110</v>
      </c>
      <c r="Q20" s="28" t="str">
        <f t="shared" si="5"/>
        <v>rokwzgl=12 i lp=110</v>
      </c>
      <c r="R20" s="28" t="str">
        <f t="shared" si="5"/>
        <v>rokwzgl=13 i lp=110</v>
      </c>
      <c r="S20" s="28" t="str">
        <f t="shared" si="5"/>
        <v>rokwzgl=14 i lp=110</v>
      </c>
      <c r="T20" s="28" t="str">
        <f t="shared" si="5"/>
        <v>rokwzgl=15 i lp=110</v>
      </c>
      <c r="U20" s="28" t="str">
        <f t="shared" si="5"/>
        <v>rokwzgl=16 i lp=110</v>
      </c>
      <c r="V20" s="28" t="str">
        <f t="shared" si="5"/>
        <v>rokwzgl=17 i lp=110</v>
      </c>
      <c r="W20" s="28" t="str">
        <f t="shared" si="5"/>
        <v>rokwzgl=18 i lp=110</v>
      </c>
      <c r="X20" s="28" t="str">
        <f t="shared" ref="X20:AH35" si="6">+"rokwzgl="&amp;X$9&amp;" i lp="&amp;$A20</f>
        <v>rokwzgl=19 i lp=110</v>
      </c>
      <c r="Y20" s="28" t="str">
        <f t="shared" si="6"/>
        <v>rokwzgl=20 i lp=110</v>
      </c>
      <c r="Z20" s="28" t="str">
        <f t="shared" si="6"/>
        <v>rokwzgl=21 i lp=110</v>
      </c>
      <c r="AA20" s="28" t="str">
        <f t="shared" si="6"/>
        <v>rokwzgl=22 i lp=110</v>
      </c>
      <c r="AB20" s="28" t="str">
        <f t="shared" si="6"/>
        <v>rokwzgl=23 i lp=110</v>
      </c>
      <c r="AC20" s="28" t="str">
        <f t="shared" si="6"/>
        <v>rokwzgl=24 i lp=110</v>
      </c>
      <c r="AD20" s="28" t="str">
        <f t="shared" si="6"/>
        <v>rokwzgl=25 i lp=110</v>
      </c>
      <c r="AE20" s="28" t="str">
        <f t="shared" si="6"/>
        <v>rokwzgl=26 i lp=110</v>
      </c>
      <c r="AF20" s="28" t="str">
        <f t="shared" si="6"/>
        <v>rokwzgl=27 i lp=110</v>
      </c>
      <c r="AG20" s="28" t="str">
        <f t="shared" si="6"/>
        <v>rokwzgl=28 i lp=110</v>
      </c>
      <c r="AH20" s="28" t="str">
        <f t="shared" si="6"/>
        <v>rokwzgl=29 i lp=110</v>
      </c>
    </row>
    <row r="21" spans="1:34">
      <c r="A21" s="27">
        <v>120</v>
      </c>
      <c r="B21" s="27">
        <v>2</v>
      </c>
      <c r="C21" s="28" t="s">
        <v>19</v>
      </c>
      <c r="D21" s="28" t="str">
        <f t="shared" si="4"/>
        <v>rokwzgl=0 i lp=120</v>
      </c>
      <c r="E21" s="28" t="str">
        <f t="shared" si="4"/>
        <v>rokwzgl=0 i lp=120</v>
      </c>
      <c r="F21" s="28" t="str">
        <f t="shared" si="4"/>
        <v>rokwzgl=1 i lp=120</v>
      </c>
      <c r="G21" s="28" t="str">
        <f t="shared" si="4"/>
        <v>rokwzgl=2 i lp=120</v>
      </c>
      <c r="H21" s="28" t="str">
        <f t="shared" si="4"/>
        <v>rokwzgl=3 i lp=120</v>
      </c>
      <c r="I21" s="28" t="str">
        <f t="shared" si="4"/>
        <v>rokwzgl=4 i lp=120</v>
      </c>
      <c r="J21" s="28" t="str">
        <f t="shared" si="4"/>
        <v>rokwzgl=5 i lp=120</v>
      </c>
      <c r="K21" s="28" t="str">
        <f t="shared" si="4"/>
        <v>rokwzgl=6 i lp=120</v>
      </c>
      <c r="L21" s="28" t="str">
        <f t="shared" si="4"/>
        <v>rokwzgl=7 i lp=120</v>
      </c>
      <c r="M21" s="28" t="str">
        <f t="shared" si="4"/>
        <v>rokwzgl=8 i lp=120</v>
      </c>
      <c r="N21" s="28" t="str">
        <f t="shared" si="5"/>
        <v>rokwzgl=9 i lp=120</v>
      </c>
      <c r="O21" s="28" t="str">
        <f t="shared" si="5"/>
        <v>rokwzgl=10 i lp=120</v>
      </c>
      <c r="P21" s="28" t="str">
        <f t="shared" si="5"/>
        <v>rokwzgl=11 i lp=120</v>
      </c>
      <c r="Q21" s="28" t="str">
        <f t="shared" si="5"/>
        <v>rokwzgl=12 i lp=120</v>
      </c>
      <c r="R21" s="28" t="str">
        <f t="shared" si="5"/>
        <v>rokwzgl=13 i lp=120</v>
      </c>
      <c r="S21" s="28" t="str">
        <f t="shared" si="5"/>
        <v>rokwzgl=14 i lp=120</v>
      </c>
      <c r="T21" s="28" t="str">
        <f t="shared" si="5"/>
        <v>rokwzgl=15 i lp=120</v>
      </c>
      <c r="U21" s="28" t="str">
        <f t="shared" si="5"/>
        <v>rokwzgl=16 i lp=120</v>
      </c>
      <c r="V21" s="28" t="str">
        <f t="shared" si="5"/>
        <v>rokwzgl=17 i lp=120</v>
      </c>
      <c r="W21" s="28" t="str">
        <f t="shared" si="5"/>
        <v>rokwzgl=18 i lp=120</v>
      </c>
      <c r="X21" s="28" t="str">
        <f t="shared" si="6"/>
        <v>rokwzgl=19 i lp=120</v>
      </c>
      <c r="Y21" s="28" t="str">
        <f t="shared" si="6"/>
        <v>rokwzgl=20 i lp=120</v>
      </c>
      <c r="Z21" s="28" t="str">
        <f t="shared" si="6"/>
        <v>rokwzgl=21 i lp=120</v>
      </c>
      <c r="AA21" s="28" t="str">
        <f t="shared" si="6"/>
        <v>rokwzgl=22 i lp=120</v>
      </c>
      <c r="AB21" s="28" t="str">
        <f t="shared" si="6"/>
        <v>rokwzgl=23 i lp=120</v>
      </c>
      <c r="AC21" s="28" t="str">
        <f t="shared" si="6"/>
        <v>rokwzgl=24 i lp=120</v>
      </c>
      <c r="AD21" s="28" t="str">
        <f t="shared" si="6"/>
        <v>rokwzgl=25 i lp=120</v>
      </c>
      <c r="AE21" s="28" t="str">
        <f t="shared" si="6"/>
        <v>rokwzgl=26 i lp=120</v>
      </c>
      <c r="AF21" s="28" t="str">
        <f t="shared" si="6"/>
        <v>rokwzgl=27 i lp=120</v>
      </c>
      <c r="AG21" s="28" t="str">
        <f t="shared" si="6"/>
        <v>rokwzgl=28 i lp=120</v>
      </c>
      <c r="AH21" s="28" t="str">
        <f t="shared" si="6"/>
        <v>rokwzgl=29 i lp=120</v>
      </c>
    </row>
    <row r="22" spans="1:34">
      <c r="A22" s="27">
        <v>130</v>
      </c>
      <c r="B22" s="27" t="s">
        <v>138</v>
      </c>
      <c r="C22" s="28" t="s">
        <v>58</v>
      </c>
      <c r="D22" s="28" t="str">
        <f t="shared" si="4"/>
        <v>rokwzgl=0 i lp=130</v>
      </c>
      <c r="E22" s="28" t="str">
        <f t="shared" si="4"/>
        <v>rokwzgl=0 i lp=130</v>
      </c>
      <c r="F22" s="28" t="str">
        <f t="shared" si="4"/>
        <v>rokwzgl=1 i lp=130</v>
      </c>
      <c r="G22" s="28" t="str">
        <f t="shared" si="4"/>
        <v>rokwzgl=2 i lp=130</v>
      </c>
      <c r="H22" s="28" t="str">
        <f t="shared" si="4"/>
        <v>rokwzgl=3 i lp=130</v>
      </c>
      <c r="I22" s="28" t="str">
        <f t="shared" si="4"/>
        <v>rokwzgl=4 i lp=130</v>
      </c>
      <c r="J22" s="28" t="str">
        <f t="shared" si="4"/>
        <v>rokwzgl=5 i lp=130</v>
      </c>
      <c r="K22" s="28" t="str">
        <f t="shared" si="4"/>
        <v>rokwzgl=6 i lp=130</v>
      </c>
      <c r="L22" s="28" t="str">
        <f t="shared" si="4"/>
        <v>rokwzgl=7 i lp=130</v>
      </c>
      <c r="M22" s="28" t="str">
        <f t="shared" si="4"/>
        <v>rokwzgl=8 i lp=130</v>
      </c>
      <c r="N22" s="28" t="str">
        <f t="shared" si="5"/>
        <v>rokwzgl=9 i lp=130</v>
      </c>
      <c r="O22" s="28" t="str">
        <f t="shared" si="5"/>
        <v>rokwzgl=10 i lp=130</v>
      </c>
      <c r="P22" s="28" t="str">
        <f t="shared" si="5"/>
        <v>rokwzgl=11 i lp=130</v>
      </c>
      <c r="Q22" s="28" t="str">
        <f t="shared" si="5"/>
        <v>rokwzgl=12 i lp=130</v>
      </c>
      <c r="R22" s="28" t="str">
        <f t="shared" si="5"/>
        <v>rokwzgl=13 i lp=130</v>
      </c>
      <c r="S22" s="28" t="str">
        <f t="shared" si="5"/>
        <v>rokwzgl=14 i lp=130</v>
      </c>
      <c r="T22" s="28" t="str">
        <f t="shared" si="5"/>
        <v>rokwzgl=15 i lp=130</v>
      </c>
      <c r="U22" s="28" t="str">
        <f t="shared" si="5"/>
        <v>rokwzgl=16 i lp=130</v>
      </c>
      <c r="V22" s="28" t="str">
        <f t="shared" si="5"/>
        <v>rokwzgl=17 i lp=130</v>
      </c>
      <c r="W22" s="28" t="str">
        <f t="shared" si="5"/>
        <v>rokwzgl=18 i lp=130</v>
      </c>
      <c r="X22" s="28" t="str">
        <f t="shared" si="6"/>
        <v>rokwzgl=19 i lp=130</v>
      </c>
      <c r="Y22" s="28" t="str">
        <f t="shared" si="6"/>
        <v>rokwzgl=20 i lp=130</v>
      </c>
      <c r="Z22" s="28" t="str">
        <f t="shared" si="6"/>
        <v>rokwzgl=21 i lp=130</v>
      </c>
      <c r="AA22" s="28" t="str">
        <f t="shared" si="6"/>
        <v>rokwzgl=22 i lp=130</v>
      </c>
      <c r="AB22" s="28" t="str">
        <f t="shared" si="6"/>
        <v>rokwzgl=23 i lp=130</v>
      </c>
      <c r="AC22" s="28" t="str">
        <f t="shared" si="6"/>
        <v>rokwzgl=24 i lp=130</v>
      </c>
      <c r="AD22" s="28" t="str">
        <f t="shared" si="6"/>
        <v>rokwzgl=25 i lp=130</v>
      </c>
      <c r="AE22" s="28" t="str">
        <f t="shared" si="6"/>
        <v>rokwzgl=26 i lp=130</v>
      </c>
      <c r="AF22" s="28" t="str">
        <f t="shared" si="6"/>
        <v>rokwzgl=27 i lp=130</v>
      </c>
      <c r="AG22" s="28" t="str">
        <f t="shared" si="6"/>
        <v>rokwzgl=28 i lp=130</v>
      </c>
      <c r="AH22" s="28" t="str">
        <f t="shared" si="6"/>
        <v>rokwzgl=29 i lp=130</v>
      </c>
    </row>
    <row r="23" spans="1:34">
      <c r="A23" s="27">
        <v>140</v>
      </c>
      <c r="B23" s="27" t="s">
        <v>59</v>
      </c>
      <c r="C23" s="28" t="s">
        <v>60</v>
      </c>
      <c r="D23" s="28" t="str">
        <f t="shared" si="4"/>
        <v>rokwzgl=0 i lp=140</v>
      </c>
      <c r="E23" s="28" t="str">
        <f t="shared" si="4"/>
        <v>rokwzgl=0 i lp=140</v>
      </c>
      <c r="F23" s="28" t="str">
        <f t="shared" si="4"/>
        <v>rokwzgl=1 i lp=140</v>
      </c>
      <c r="G23" s="28" t="str">
        <f t="shared" si="4"/>
        <v>rokwzgl=2 i lp=140</v>
      </c>
      <c r="H23" s="28" t="str">
        <f t="shared" si="4"/>
        <v>rokwzgl=3 i lp=140</v>
      </c>
      <c r="I23" s="28" t="str">
        <f t="shared" si="4"/>
        <v>rokwzgl=4 i lp=140</v>
      </c>
      <c r="J23" s="28" t="str">
        <f t="shared" si="4"/>
        <v>rokwzgl=5 i lp=140</v>
      </c>
      <c r="K23" s="28" t="str">
        <f t="shared" si="4"/>
        <v>rokwzgl=6 i lp=140</v>
      </c>
      <c r="L23" s="28" t="str">
        <f t="shared" si="4"/>
        <v>rokwzgl=7 i lp=140</v>
      </c>
      <c r="M23" s="28" t="str">
        <f t="shared" si="4"/>
        <v>rokwzgl=8 i lp=140</v>
      </c>
      <c r="N23" s="28" t="str">
        <f t="shared" si="5"/>
        <v>rokwzgl=9 i lp=140</v>
      </c>
      <c r="O23" s="28" t="str">
        <f t="shared" si="5"/>
        <v>rokwzgl=10 i lp=140</v>
      </c>
      <c r="P23" s="28" t="str">
        <f t="shared" si="5"/>
        <v>rokwzgl=11 i lp=140</v>
      </c>
      <c r="Q23" s="28" t="str">
        <f t="shared" si="5"/>
        <v>rokwzgl=12 i lp=140</v>
      </c>
      <c r="R23" s="28" t="str">
        <f t="shared" si="5"/>
        <v>rokwzgl=13 i lp=140</v>
      </c>
      <c r="S23" s="28" t="str">
        <f t="shared" si="5"/>
        <v>rokwzgl=14 i lp=140</v>
      </c>
      <c r="T23" s="28" t="str">
        <f t="shared" si="5"/>
        <v>rokwzgl=15 i lp=140</v>
      </c>
      <c r="U23" s="28" t="str">
        <f t="shared" si="5"/>
        <v>rokwzgl=16 i lp=140</v>
      </c>
      <c r="V23" s="28" t="str">
        <f t="shared" si="5"/>
        <v>rokwzgl=17 i lp=140</v>
      </c>
      <c r="W23" s="28" t="str">
        <f t="shared" si="5"/>
        <v>rokwzgl=18 i lp=140</v>
      </c>
      <c r="X23" s="28" t="str">
        <f t="shared" si="6"/>
        <v>rokwzgl=19 i lp=140</v>
      </c>
      <c r="Y23" s="28" t="str">
        <f t="shared" si="6"/>
        <v>rokwzgl=20 i lp=140</v>
      </c>
      <c r="Z23" s="28" t="str">
        <f t="shared" si="6"/>
        <v>rokwzgl=21 i lp=140</v>
      </c>
      <c r="AA23" s="28" t="str">
        <f t="shared" si="6"/>
        <v>rokwzgl=22 i lp=140</v>
      </c>
      <c r="AB23" s="28" t="str">
        <f t="shared" si="6"/>
        <v>rokwzgl=23 i lp=140</v>
      </c>
      <c r="AC23" s="28" t="str">
        <f t="shared" si="6"/>
        <v>rokwzgl=24 i lp=140</v>
      </c>
      <c r="AD23" s="28" t="str">
        <f t="shared" si="6"/>
        <v>rokwzgl=25 i lp=140</v>
      </c>
      <c r="AE23" s="28" t="str">
        <f t="shared" si="6"/>
        <v>rokwzgl=26 i lp=140</v>
      </c>
      <c r="AF23" s="28" t="str">
        <f t="shared" si="6"/>
        <v>rokwzgl=27 i lp=140</v>
      </c>
      <c r="AG23" s="28" t="str">
        <f t="shared" si="6"/>
        <v>rokwzgl=28 i lp=140</v>
      </c>
      <c r="AH23" s="28" t="str">
        <f t="shared" si="6"/>
        <v>rokwzgl=29 i lp=140</v>
      </c>
    </row>
    <row r="24" spans="1:34">
      <c r="A24" s="27">
        <v>150</v>
      </c>
      <c r="B24" s="27" t="s">
        <v>61</v>
      </c>
      <c r="C24" s="28" t="s">
        <v>358</v>
      </c>
      <c r="D24" s="28" t="str">
        <f t="shared" si="4"/>
        <v>rokwzgl=0 i lp=150</v>
      </c>
      <c r="E24" s="28" t="str">
        <f t="shared" si="4"/>
        <v>rokwzgl=0 i lp=150</v>
      </c>
      <c r="F24" s="28" t="str">
        <f t="shared" si="4"/>
        <v>rokwzgl=1 i lp=150</v>
      </c>
      <c r="G24" s="28" t="str">
        <f t="shared" si="4"/>
        <v>rokwzgl=2 i lp=150</v>
      </c>
      <c r="H24" s="28" t="str">
        <f t="shared" si="4"/>
        <v>rokwzgl=3 i lp=150</v>
      </c>
      <c r="I24" s="28" t="str">
        <f t="shared" si="4"/>
        <v>rokwzgl=4 i lp=150</v>
      </c>
      <c r="J24" s="28" t="str">
        <f t="shared" si="4"/>
        <v>rokwzgl=5 i lp=150</v>
      </c>
      <c r="K24" s="28" t="str">
        <f t="shared" si="4"/>
        <v>rokwzgl=6 i lp=150</v>
      </c>
      <c r="L24" s="28" t="str">
        <f t="shared" si="4"/>
        <v>rokwzgl=7 i lp=150</v>
      </c>
      <c r="M24" s="28" t="str">
        <f t="shared" si="4"/>
        <v>rokwzgl=8 i lp=150</v>
      </c>
      <c r="N24" s="28" t="str">
        <f t="shared" si="5"/>
        <v>rokwzgl=9 i lp=150</v>
      </c>
      <c r="O24" s="28" t="str">
        <f t="shared" si="5"/>
        <v>rokwzgl=10 i lp=150</v>
      </c>
      <c r="P24" s="28" t="str">
        <f t="shared" si="5"/>
        <v>rokwzgl=11 i lp=150</v>
      </c>
      <c r="Q24" s="28" t="str">
        <f t="shared" si="5"/>
        <v>rokwzgl=12 i lp=150</v>
      </c>
      <c r="R24" s="28" t="str">
        <f t="shared" si="5"/>
        <v>rokwzgl=13 i lp=150</v>
      </c>
      <c r="S24" s="28" t="str">
        <f t="shared" si="5"/>
        <v>rokwzgl=14 i lp=150</v>
      </c>
      <c r="T24" s="28" t="str">
        <f t="shared" si="5"/>
        <v>rokwzgl=15 i lp=150</v>
      </c>
      <c r="U24" s="28" t="str">
        <f t="shared" si="5"/>
        <v>rokwzgl=16 i lp=150</v>
      </c>
      <c r="V24" s="28" t="str">
        <f t="shared" si="5"/>
        <v>rokwzgl=17 i lp=150</v>
      </c>
      <c r="W24" s="28" t="str">
        <f t="shared" si="5"/>
        <v>rokwzgl=18 i lp=150</v>
      </c>
      <c r="X24" s="28" t="str">
        <f t="shared" si="6"/>
        <v>rokwzgl=19 i lp=150</v>
      </c>
      <c r="Y24" s="28" t="str">
        <f t="shared" si="6"/>
        <v>rokwzgl=20 i lp=150</v>
      </c>
      <c r="Z24" s="28" t="str">
        <f t="shared" si="6"/>
        <v>rokwzgl=21 i lp=150</v>
      </c>
      <c r="AA24" s="28" t="str">
        <f t="shared" si="6"/>
        <v>rokwzgl=22 i lp=150</v>
      </c>
      <c r="AB24" s="28" t="str">
        <f t="shared" si="6"/>
        <v>rokwzgl=23 i lp=150</v>
      </c>
      <c r="AC24" s="28" t="str">
        <f t="shared" si="6"/>
        <v>rokwzgl=24 i lp=150</v>
      </c>
      <c r="AD24" s="28" t="str">
        <f t="shared" si="6"/>
        <v>rokwzgl=25 i lp=150</v>
      </c>
      <c r="AE24" s="28" t="str">
        <f t="shared" si="6"/>
        <v>rokwzgl=26 i lp=150</v>
      </c>
      <c r="AF24" s="28" t="str">
        <f t="shared" si="6"/>
        <v>rokwzgl=27 i lp=150</v>
      </c>
      <c r="AG24" s="28" t="str">
        <f t="shared" si="6"/>
        <v>rokwzgl=28 i lp=150</v>
      </c>
      <c r="AH24" s="28" t="str">
        <f t="shared" si="6"/>
        <v>rokwzgl=29 i lp=150</v>
      </c>
    </row>
    <row r="25" spans="1:34">
      <c r="A25" s="27">
        <v>160</v>
      </c>
      <c r="B25" s="27" t="s">
        <v>62</v>
      </c>
      <c r="C25" s="28" t="s">
        <v>359</v>
      </c>
      <c r="D25" s="28" t="str">
        <f t="shared" si="4"/>
        <v>rokwzgl=0 i lp=160</v>
      </c>
      <c r="E25" s="28" t="str">
        <f t="shared" si="4"/>
        <v>rokwzgl=0 i lp=160</v>
      </c>
      <c r="F25" s="28" t="str">
        <f t="shared" si="4"/>
        <v>rokwzgl=1 i lp=160</v>
      </c>
      <c r="G25" s="28" t="str">
        <f t="shared" si="4"/>
        <v>rokwzgl=2 i lp=160</v>
      </c>
      <c r="H25" s="28" t="str">
        <f t="shared" si="4"/>
        <v>rokwzgl=3 i lp=160</v>
      </c>
      <c r="I25" s="28" t="str">
        <f t="shared" si="4"/>
        <v>rokwzgl=4 i lp=160</v>
      </c>
      <c r="J25" s="28" t="str">
        <f t="shared" si="4"/>
        <v>rokwzgl=5 i lp=160</v>
      </c>
      <c r="K25" s="28" t="str">
        <f t="shared" si="4"/>
        <v>rokwzgl=6 i lp=160</v>
      </c>
      <c r="L25" s="28" t="str">
        <f t="shared" si="4"/>
        <v>rokwzgl=7 i lp=160</v>
      </c>
      <c r="M25" s="28" t="str">
        <f t="shared" si="4"/>
        <v>rokwzgl=8 i lp=160</v>
      </c>
      <c r="N25" s="28" t="str">
        <f t="shared" si="5"/>
        <v>rokwzgl=9 i lp=160</v>
      </c>
      <c r="O25" s="28" t="str">
        <f t="shared" si="5"/>
        <v>rokwzgl=10 i lp=160</v>
      </c>
      <c r="P25" s="28" t="str">
        <f t="shared" si="5"/>
        <v>rokwzgl=11 i lp=160</v>
      </c>
      <c r="Q25" s="28" t="str">
        <f t="shared" si="5"/>
        <v>rokwzgl=12 i lp=160</v>
      </c>
      <c r="R25" s="28" t="str">
        <f t="shared" si="5"/>
        <v>rokwzgl=13 i lp=160</v>
      </c>
      <c r="S25" s="28" t="str">
        <f t="shared" si="5"/>
        <v>rokwzgl=14 i lp=160</v>
      </c>
      <c r="T25" s="28" t="str">
        <f t="shared" si="5"/>
        <v>rokwzgl=15 i lp=160</v>
      </c>
      <c r="U25" s="28" t="str">
        <f t="shared" si="5"/>
        <v>rokwzgl=16 i lp=160</v>
      </c>
      <c r="V25" s="28" t="str">
        <f t="shared" si="5"/>
        <v>rokwzgl=17 i lp=160</v>
      </c>
      <c r="W25" s="28" t="str">
        <f t="shared" si="5"/>
        <v>rokwzgl=18 i lp=160</v>
      </c>
      <c r="X25" s="28" t="str">
        <f t="shared" si="6"/>
        <v>rokwzgl=19 i lp=160</v>
      </c>
      <c r="Y25" s="28" t="str">
        <f t="shared" si="6"/>
        <v>rokwzgl=20 i lp=160</v>
      </c>
      <c r="Z25" s="28" t="str">
        <f t="shared" si="6"/>
        <v>rokwzgl=21 i lp=160</v>
      </c>
      <c r="AA25" s="28" t="str">
        <f t="shared" si="6"/>
        <v>rokwzgl=22 i lp=160</v>
      </c>
      <c r="AB25" s="28" t="str">
        <f t="shared" si="6"/>
        <v>rokwzgl=23 i lp=160</v>
      </c>
      <c r="AC25" s="28" t="str">
        <f t="shared" si="6"/>
        <v>rokwzgl=24 i lp=160</v>
      </c>
      <c r="AD25" s="28" t="str">
        <f t="shared" si="6"/>
        <v>rokwzgl=25 i lp=160</v>
      </c>
      <c r="AE25" s="28" t="str">
        <f t="shared" si="6"/>
        <v>rokwzgl=26 i lp=160</v>
      </c>
      <c r="AF25" s="28" t="str">
        <f t="shared" si="6"/>
        <v>rokwzgl=27 i lp=160</v>
      </c>
      <c r="AG25" s="28" t="str">
        <f t="shared" si="6"/>
        <v>rokwzgl=28 i lp=160</v>
      </c>
      <c r="AH25" s="28" t="str">
        <f t="shared" si="6"/>
        <v>rokwzgl=29 i lp=160</v>
      </c>
    </row>
    <row r="26" spans="1:34">
      <c r="A26" s="27">
        <v>170</v>
      </c>
      <c r="B26" s="27" t="s">
        <v>63</v>
      </c>
      <c r="C26" s="28" t="s">
        <v>360</v>
      </c>
      <c r="D26" s="28" t="str">
        <f t="shared" si="4"/>
        <v>rokwzgl=0 i lp=170</v>
      </c>
      <c r="E26" s="28" t="str">
        <f t="shared" si="4"/>
        <v>rokwzgl=0 i lp=170</v>
      </c>
      <c r="F26" s="28" t="str">
        <f t="shared" si="4"/>
        <v>rokwzgl=1 i lp=170</v>
      </c>
      <c r="G26" s="28" t="str">
        <f t="shared" si="4"/>
        <v>rokwzgl=2 i lp=170</v>
      </c>
      <c r="H26" s="28" t="str">
        <f t="shared" si="4"/>
        <v>rokwzgl=3 i lp=170</v>
      </c>
      <c r="I26" s="28" t="str">
        <f t="shared" si="4"/>
        <v>rokwzgl=4 i lp=170</v>
      </c>
      <c r="J26" s="28" t="str">
        <f t="shared" si="4"/>
        <v>rokwzgl=5 i lp=170</v>
      </c>
      <c r="K26" s="28" t="str">
        <f t="shared" si="4"/>
        <v>rokwzgl=6 i lp=170</v>
      </c>
      <c r="L26" s="28" t="str">
        <f t="shared" si="4"/>
        <v>rokwzgl=7 i lp=170</v>
      </c>
      <c r="M26" s="28" t="str">
        <f t="shared" si="4"/>
        <v>rokwzgl=8 i lp=170</v>
      </c>
      <c r="N26" s="28" t="str">
        <f t="shared" si="5"/>
        <v>rokwzgl=9 i lp=170</v>
      </c>
      <c r="O26" s="28" t="str">
        <f t="shared" si="5"/>
        <v>rokwzgl=10 i lp=170</v>
      </c>
      <c r="P26" s="28" t="str">
        <f t="shared" si="5"/>
        <v>rokwzgl=11 i lp=170</v>
      </c>
      <c r="Q26" s="28" t="str">
        <f t="shared" si="5"/>
        <v>rokwzgl=12 i lp=170</v>
      </c>
      <c r="R26" s="28" t="str">
        <f t="shared" si="5"/>
        <v>rokwzgl=13 i lp=170</v>
      </c>
      <c r="S26" s="28" t="str">
        <f t="shared" si="5"/>
        <v>rokwzgl=14 i lp=170</v>
      </c>
      <c r="T26" s="28" t="str">
        <f t="shared" si="5"/>
        <v>rokwzgl=15 i lp=170</v>
      </c>
      <c r="U26" s="28" t="str">
        <f t="shared" si="5"/>
        <v>rokwzgl=16 i lp=170</v>
      </c>
      <c r="V26" s="28" t="str">
        <f t="shared" si="5"/>
        <v>rokwzgl=17 i lp=170</v>
      </c>
      <c r="W26" s="28" t="str">
        <f t="shared" si="5"/>
        <v>rokwzgl=18 i lp=170</v>
      </c>
      <c r="X26" s="28" t="str">
        <f t="shared" si="6"/>
        <v>rokwzgl=19 i lp=170</v>
      </c>
      <c r="Y26" s="28" t="str">
        <f t="shared" si="6"/>
        <v>rokwzgl=20 i lp=170</v>
      </c>
      <c r="Z26" s="28" t="str">
        <f t="shared" si="6"/>
        <v>rokwzgl=21 i lp=170</v>
      </c>
      <c r="AA26" s="28" t="str">
        <f t="shared" si="6"/>
        <v>rokwzgl=22 i lp=170</v>
      </c>
      <c r="AB26" s="28" t="str">
        <f t="shared" si="6"/>
        <v>rokwzgl=23 i lp=170</v>
      </c>
      <c r="AC26" s="28" t="str">
        <f t="shared" si="6"/>
        <v>rokwzgl=24 i lp=170</v>
      </c>
      <c r="AD26" s="28" t="str">
        <f t="shared" si="6"/>
        <v>rokwzgl=25 i lp=170</v>
      </c>
      <c r="AE26" s="28" t="str">
        <f t="shared" si="6"/>
        <v>rokwzgl=26 i lp=170</v>
      </c>
      <c r="AF26" s="28" t="str">
        <f t="shared" si="6"/>
        <v>rokwzgl=27 i lp=170</v>
      </c>
      <c r="AG26" s="28" t="str">
        <f t="shared" si="6"/>
        <v>rokwzgl=28 i lp=170</v>
      </c>
      <c r="AH26" s="28" t="str">
        <f t="shared" si="6"/>
        <v>rokwzgl=29 i lp=170</v>
      </c>
    </row>
    <row r="27" spans="1:34">
      <c r="A27" s="27">
        <v>180</v>
      </c>
      <c r="B27" s="27" t="s">
        <v>64</v>
      </c>
      <c r="C27" s="28" t="s">
        <v>361</v>
      </c>
      <c r="D27" s="28" t="str">
        <f t="shared" si="4"/>
        <v>rokwzgl=0 i lp=180</v>
      </c>
      <c r="E27" s="28" t="str">
        <f t="shared" si="4"/>
        <v>rokwzgl=0 i lp=180</v>
      </c>
      <c r="F27" s="28" t="str">
        <f t="shared" si="4"/>
        <v>rokwzgl=1 i lp=180</v>
      </c>
      <c r="G27" s="28" t="str">
        <f t="shared" si="4"/>
        <v>rokwzgl=2 i lp=180</v>
      </c>
      <c r="H27" s="28" t="str">
        <f t="shared" si="4"/>
        <v>rokwzgl=3 i lp=180</v>
      </c>
      <c r="I27" s="28" t="str">
        <f t="shared" si="4"/>
        <v>rokwzgl=4 i lp=180</v>
      </c>
      <c r="J27" s="28" t="str">
        <f t="shared" si="4"/>
        <v>rokwzgl=5 i lp=180</v>
      </c>
      <c r="K27" s="28" t="str">
        <f t="shared" si="4"/>
        <v>rokwzgl=6 i lp=180</v>
      </c>
      <c r="L27" s="28" t="str">
        <f t="shared" si="4"/>
        <v>rokwzgl=7 i lp=180</v>
      </c>
      <c r="M27" s="28" t="str">
        <f t="shared" si="4"/>
        <v>rokwzgl=8 i lp=180</v>
      </c>
      <c r="N27" s="28" t="str">
        <f t="shared" si="5"/>
        <v>rokwzgl=9 i lp=180</v>
      </c>
      <c r="O27" s="28" t="str">
        <f t="shared" si="5"/>
        <v>rokwzgl=10 i lp=180</v>
      </c>
      <c r="P27" s="28" t="str">
        <f t="shared" si="5"/>
        <v>rokwzgl=11 i lp=180</v>
      </c>
      <c r="Q27" s="28" t="str">
        <f t="shared" si="5"/>
        <v>rokwzgl=12 i lp=180</v>
      </c>
      <c r="R27" s="28" t="str">
        <f t="shared" si="5"/>
        <v>rokwzgl=13 i lp=180</v>
      </c>
      <c r="S27" s="28" t="str">
        <f t="shared" si="5"/>
        <v>rokwzgl=14 i lp=180</v>
      </c>
      <c r="T27" s="28" t="str">
        <f t="shared" si="5"/>
        <v>rokwzgl=15 i lp=180</v>
      </c>
      <c r="U27" s="28" t="str">
        <f t="shared" si="5"/>
        <v>rokwzgl=16 i lp=180</v>
      </c>
      <c r="V27" s="28" t="str">
        <f t="shared" si="5"/>
        <v>rokwzgl=17 i lp=180</v>
      </c>
      <c r="W27" s="28" t="str">
        <f t="shared" si="5"/>
        <v>rokwzgl=18 i lp=180</v>
      </c>
      <c r="X27" s="28" t="str">
        <f t="shared" si="6"/>
        <v>rokwzgl=19 i lp=180</v>
      </c>
      <c r="Y27" s="28" t="str">
        <f t="shared" si="6"/>
        <v>rokwzgl=20 i lp=180</v>
      </c>
      <c r="Z27" s="28" t="str">
        <f t="shared" si="6"/>
        <v>rokwzgl=21 i lp=180</v>
      </c>
      <c r="AA27" s="28" t="str">
        <f t="shared" si="6"/>
        <v>rokwzgl=22 i lp=180</v>
      </c>
      <c r="AB27" s="28" t="str">
        <f t="shared" si="6"/>
        <v>rokwzgl=23 i lp=180</v>
      </c>
      <c r="AC27" s="28" t="str">
        <f t="shared" si="6"/>
        <v>rokwzgl=24 i lp=180</v>
      </c>
      <c r="AD27" s="28" t="str">
        <f t="shared" si="6"/>
        <v>rokwzgl=25 i lp=180</v>
      </c>
      <c r="AE27" s="28" t="str">
        <f t="shared" si="6"/>
        <v>rokwzgl=26 i lp=180</v>
      </c>
      <c r="AF27" s="28" t="str">
        <f t="shared" si="6"/>
        <v>rokwzgl=27 i lp=180</v>
      </c>
      <c r="AG27" s="28" t="str">
        <f t="shared" si="6"/>
        <v>rokwzgl=28 i lp=180</v>
      </c>
      <c r="AH27" s="28" t="str">
        <f t="shared" si="6"/>
        <v>rokwzgl=29 i lp=180</v>
      </c>
    </row>
    <row r="28" spans="1:34">
      <c r="A28" s="27">
        <v>182</v>
      </c>
      <c r="B28" s="27" t="s">
        <v>362</v>
      </c>
      <c r="C28" s="28" t="s">
        <v>363</v>
      </c>
      <c r="D28" s="28" t="str">
        <f t="shared" si="4"/>
        <v>rokwzgl=0 i lp=182</v>
      </c>
      <c r="E28" s="28" t="str">
        <f t="shared" si="4"/>
        <v>rokwzgl=0 i lp=182</v>
      </c>
      <c r="F28" s="28" t="str">
        <f t="shared" si="4"/>
        <v>rokwzgl=1 i lp=182</v>
      </c>
      <c r="G28" s="28" t="str">
        <f t="shared" si="4"/>
        <v>rokwzgl=2 i lp=182</v>
      </c>
      <c r="H28" s="28" t="str">
        <f t="shared" si="4"/>
        <v>rokwzgl=3 i lp=182</v>
      </c>
      <c r="I28" s="28" t="str">
        <f t="shared" si="4"/>
        <v>rokwzgl=4 i lp=182</v>
      </c>
      <c r="J28" s="28" t="str">
        <f t="shared" si="4"/>
        <v>rokwzgl=5 i lp=182</v>
      </c>
      <c r="K28" s="28" t="str">
        <f t="shared" si="4"/>
        <v>rokwzgl=6 i lp=182</v>
      </c>
      <c r="L28" s="28" t="str">
        <f t="shared" si="4"/>
        <v>rokwzgl=7 i lp=182</v>
      </c>
      <c r="M28" s="28" t="str">
        <f t="shared" si="4"/>
        <v>rokwzgl=8 i lp=182</v>
      </c>
      <c r="N28" s="28" t="str">
        <f t="shared" si="5"/>
        <v>rokwzgl=9 i lp=182</v>
      </c>
      <c r="O28" s="28" t="str">
        <f t="shared" si="5"/>
        <v>rokwzgl=10 i lp=182</v>
      </c>
      <c r="P28" s="28" t="str">
        <f t="shared" si="5"/>
        <v>rokwzgl=11 i lp=182</v>
      </c>
      <c r="Q28" s="28" t="str">
        <f t="shared" si="5"/>
        <v>rokwzgl=12 i lp=182</v>
      </c>
      <c r="R28" s="28" t="str">
        <f t="shared" si="5"/>
        <v>rokwzgl=13 i lp=182</v>
      </c>
      <c r="S28" s="28" t="str">
        <f t="shared" si="5"/>
        <v>rokwzgl=14 i lp=182</v>
      </c>
      <c r="T28" s="28" t="str">
        <f t="shared" si="5"/>
        <v>rokwzgl=15 i lp=182</v>
      </c>
      <c r="U28" s="28" t="str">
        <f t="shared" si="5"/>
        <v>rokwzgl=16 i lp=182</v>
      </c>
      <c r="V28" s="28" t="str">
        <f t="shared" si="5"/>
        <v>rokwzgl=17 i lp=182</v>
      </c>
      <c r="W28" s="28" t="str">
        <f t="shared" si="5"/>
        <v>rokwzgl=18 i lp=182</v>
      </c>
      <c r="X28" s="28" t="str">
        <f t="shared" si="6"/>
        <v>rokwzgl=19 i lp=182</v>
      </c>
      <c r="Y28" s="28" t="str">
        <f t="shared" si="6"/>
        <v>rokwzgl=20 i lp=182</v>
      </c>
      <c r="Z28" s="28" t="str">
        <f t="shared" si="6"/>
        <v>rokwzgl=21 i lp=182</v>
      </c>
      <c r="AA28" s="28" t="str">
        <f t="shared" si="6"/>
        <v>rokwzgl=22 i lp=182</v>
      </c>
      <c r="AB28" s="28" t="str">
        <f t="shared" si="6"/>
        <v>rokwzgl=23 i lp=182</v>
      </c>
      <c r="AC28" s="28" t="str">
        <f t="shared" si="6"/>
        <v>rokwzgl=24 i lp=182</v>
      </c>
      <c r="AD28" s="28" t="str">
        <f t="shared" si="6"/>
        <v>rokwzgl=25 i lp=182</v>
      </c>
      <c r="AE28" s="28" t="str">
        <f t="shared" si="6"/>
        <v>rokwzgl=26 i lp=182</v>
      </c>
      <c r="AF28" s="28" t="str">
        <f t="shared" si="6"/>
        <v>rokwzgl=27 i lp=182</v>
      </c>
      <c r="AG28" s="28" t="str">
        <f t="shared" si="6"/>
        <v>rokwzgl=28 i lp=182</v>
      </c>
      <c r="AH28" s="28" t="str">
        <f t="shared" si="6"/>
        <v>rokwzgl=29 i lp=182</v>
      </c>
    </row>
    <row r="29" spans="1:34">
      <c r="A29" s="27">
        <v>184</v>
      </c>
      <c r="B29" s="27" t="s">
        <v>364</v>
      </c>
      <c r="C29" s="28" t="s">
        <v>365</v>
      </c>
      <c r="D29" s="28" t="str">
        <f t="shared" si="4"/>
        <v>rokwzgl=0 i lp=184</v>
      </c>
      <c r="E29" s="28" t="str">
        <f t="shared" si="4"/>
        <v>rokwzgl=0 i lp=184</v>
      </c>
      <c r="F29" s="28" t="str">
        <f t="shared" si="4"/>
        <v>rokwzgl=1 i lp=184</v>
      </c>
      <c r="G29" s="28" t="str">
        <f t="shared" si="4"/>
        <v>rokwzgl=2 i lp=184</v>
      </c>
      <c r="H29" s="28" t="str">
        <f t="shared" si="4"/>
        <v>rokwzgl=3 i lp=184</v>
      </c>
      <c r="I29" s="28" t="str">
        <f t="shared" si="4"/>
        <v>rokwzgl=4 i lp=184</v>
      </c>
      <c r="J29" s="28" t="str">
        <f t="shared" si="4"/>
        <v>rokwzgl=5 i lp=184</v>
      </c>
      <c r="K29" s="28" t="str">
        <f t="shared" si="4"/>
        <v>rokwzgl=6 i lp=184</v>
      </c>
      <c r="L29" s="28" t="str">
        <f t="shared" si="4"/>
        <v>rokwzgl=7 i lp=184</v>
      </c>
      <c r="M29" s="28" t="str">
        <f t="shared" si="4"/>
        <v>rokwzgl=8 i lp=184</v>
      </c>
      <c r="N29" s="28" t="str">
        <f t="shared" si="5"/>
        <v>rokwzgl=9 i lp=184</v>
      </c>
      <c r="O29" s="28" t="str">
        <f t="shared" si="5"/>
        <v>rokwzgl=10 i lp=184</v>
      </c>
      <c r="P29" s="28" t="str">
        <f t="shared" si="5"/>
        <v>rokwzgl=11 i lp=184</v>
      </c>
      <c r="Q29" s="28" t="str">
        <f t="shared" si="5"/>
        <v>rokwzgl=12 i lp=184</v>
      </c>
      <c r="R29" s="28" t="str">
        <f t="shared" si="5"/>
        <v>rokwzgl=13 i lp=184</v>
      </c>
      <c r="S29" s="28" t="str">
        <f t="shared" si="5"/>
        <v>rokwzgl=14 i lp=184</v>
      </c>
      <c r="T29" s="28" t="str">
        <f t="shared" si="5"/>
        <v>rokwzgl=15 i lp=184</v>
      </c>
      <c r="U29" s="28" t="str">
        <f t="shared" si="5"/>
        <v>rokwzgl=16 i lp=184</v>
      </c>
      <c r="V29" s="28" t="str">
        <f t="shared" si="5"/>
        <v>rokwzgl=17 i lp=184</v>
      </c>
      <c r="W29" s="28" t="str">
        <f t="shared" si="5"/>
        <v>rokwzgl=18 i lp=184</v>
      </c>
      <c r="X29" s="28" t="str">
        <f t="shared" si="6"/>
        <v>rokwzgl=19 i lp=184</v>
      </c>
      <c r="Y29" s="28" t="str">
        <f t="shared" si="6"/>
        <v>rokwzgl=20 i lp=184</v>
      </c>
      <c r="Z29" s="28" t="str">
        <f t="shared" si="6"/>
        <v>rokwzgl=21 i lp=184</v>
      </c>
      <c r="AA29" s="28" t="str">
        <f t="shared" si="6"/>
        <v>rokwzgl=22 i lp=184</v>
      </c>
      <c r="AB29" s="28" t="str">
        <f t="shared" si="6"/>
        <v>rokwzgl=23 i lp=184</v>
      </c>
      <c r="AC29" s="28" t="str">
        <f t="shared" si="6"/>
        <v>rokwzgl=24 i lp=184</v>
      </c>
      <c r="AD29" s="28" t="str">
        <f t="shared" si="6"/>
        <v>rokwzgl=25 i lp=184</v>
      </c>
      <c r="AE29" s="28" t="str">
        <f t="shared" si="6"/>
        <v>rokwzgl=26 i lp=184</v>
      </c>
      <c r="AF29" s="28" t="str">
        <f t="shared" si="6"/>
        <v>rokwzgl=27 i lp=184</v>
      </c>
      <c r="AG29" s="28" t="str">
        <f t="shared" si="6"/>
        <v>rokwzgl=28 i lp=184</v>
      </c>
      <c r="AH29" s="28" t="str">
        <f t="shared" si="6"/>
        <v>rokwzgl=29 i lp=184</v>
      </c>
    </row>
    <row r="30" spans="1:34">
      <c r="A30" s="27">
        <v>190</v>
      </c>
      <c r="B30" s="27" t="s">
        <v>139</v>
      </c>
      <c r="C30" s="28" t="s">
        <v>65</v>
      </c>
      <c r="D30" s="28" t="str">
        <f t="shared" si="4"/>
        <v>rokwzgl=0 i lp=190</v>
      </c>
      <c r="E30" s="28" t="str">
        <f t="shared" si="4"/>
        <v>rokwzgl=0 i lp=190</v>
      </c>
      <c r="F30" s="28" t="str">
        <f t="shared" si="4"/>
        <v>rokwzgl=1 i lp=190</v>
      </c>
      <c r="G30" s="28" t="str">
        <f t="shared" si="4"/>
        <v>rokwzgl=2 i lp=190</v>
      </c>
      <c r="H30" s="28" t="str">
        <f t="shared" si="4"/>
        <v>rokwzgl=3 i lp=190</v>
      </c>
      <c r="I30" s="28" t="str">
        <f t="shared" si="4"/>
        <v>rokwzgl=4 i lp=190</v>
      </c>
      <c r="J30" s="28" t="str">
        <f t="shared" si="4"/>
        <v>rokwzgl=5 i lp=190</v>
      </c>
      <c r="K30" s="28" t="str">
        <f t="shared" si="4"/>
        <v>rokwzgl=6 i lp=190</v>
      </c>
      <c r="L30" s="28" t="str">
        <f t="shared" si="4"/>
        <v>rokwzgl=7 i lp=190</v>
      </c>
      <c r="M30" s="28" t="str">
        <f t="shared" si="4"/>
        <v>rokwzgl=8 i lp=190</v>
      </c>
      <c r="N30" s="28" t="str">
        <f t="shared" si="5"/>
        <v>rokwzgl=9 i lp=190</v>
      </c>
      <c r="O30" s="28" t="str">
        <f t="shared" si="5"/>
        <v>rokwzgl=10 i lp=190</v>
      </c>
      <c r="P30" s="28" t="str">
        <f t="shared" si="5"/>
        <v>rokwzgl=11 i lp=190</v>
      </c>
      <c r="Q30" s="28" t="str">
        <f t="shared" si="5"/>
        <v>rokwzgl=12 i lp=190</v>
      </c>
      <c r="R30" s="28" t="str">
        <f t="shared" si="5"/>
        <v>rokwzgl=13 i lp=190</v>
      </c>
      <c r="S30" s="28" t="str">
        <f t="shared" si="5"/>
        <v>rokwzgl=14 i lp=190</v>
      </c>
      <c r="T30" s="28" t="str">
        <f t="shared" si="5"/>
        <v>rokwzgl=15 i lp=190</v>
      </c>
      <c r="U30" s="28" t="str">
        <f t="shared" si="5"/>
        <v>rokwzgl=16 i lp=190</v>
      </c>
      <c r="V30" s="28" t="str">
        <f t="shared" si="5"/>
        <v>rokwzgl=17 i lp=190</v>
      </c>
      <c r="W30" s="28" t="str">
        <f t="shared" si="5"/>
        <v>rokwzgl=18 i lp=190</v>
      </c>
      <c r="X30" s="28" t="str">
        <f t="shared" si="6"/>
        <v>rokwzgl=19 i lp=190</v>
      </c>
      <c r="Y30" s="28" t="str">
        <f t="shared" si="6"/>
        <v>rokwzgl=20 i lp=190</v>
      </c>
      <c r="Z30" s="28" t="str">
        <f t="shared" si="6"/>
        <v>rokwzgl=21 i lp=190</v>
      </c>
      <c r="AA30" s="28" t="str">
        <f t="shared" si="6"/>
        <v>rokwzgl=22 i lp=190</v>
      </c>
      <c r="AB30" s="28" t="str">
        <f t="shared" si="6"/>
        <v>rokwzgl=23 i lp=190</v>
      </c>
      <c r="AC30" s="28" t="str">
        <f t="shared" si="6"/>
        <v>rokwzgl=24 i lp=190</v>
      </c>
      <c r="AD30" s="28" t="str">
        <f t="shared" si="6"/>
        <v>rokwzgl=25 i lp=190</v>
      </c>
      <c r="AE30" s="28" t="str">
        <f t="shared" si="6"/>
        <v>rokwzgl=26 i lp=190</v>
      </c>
      <c r="AF30" s="28" t="str">
        <f t="shared" si="6"/>
        <v>rokwzgl=27 i lp=190</v>
      </c>
      <c r="AG30" s="28" t="str">
        <f t="shared" si="6"/>
        <v>rokwzgl=28 i lp=190</v>
      </c>
      <c r="AH30" s="28" t="str">
        <f t="shared" si="6"/>
        <v>rokwzgl=29 i lp=190</v>
      </c>
    </row>
    <row r="31" spans="1:34">
      <c r="A31" s="27">
        <v>200</v>
      </c>
      <c r="B31" s="27">
        <v>3</v>
      </c>
      <c r="C31" s="28" t="s">
        <v>21</v>
      </c>
      <c r="D31" s="28" t="str">
        <f t="shared" si="4"/>
        <v>rokwzgl=0 i lp=200</v>
      </c>
      <c r="E31" s="28" t="str">
        <f t="shared" si="4"/>
        <v>rokwzgl=0 i lp=200</v>
      </c>
      <c r="F31" s="28" t="str">
        <f t="shared" si="4"/>
        <v>rokwzgl=1 i lp=200</v>
      </c>
      <c r="G31" s="28" t="str">
        <f t="shared" si="4"/>
        <v>rokwzgl=2 i lp=200</v>
      </c>
      <c r="H31" s="28" t="str">
        <f t="shared" si="4"/>
        <v>rokwzgl=3 i lp=200</v>
      </c>
      <c r="I31" s="28" t="str">
        <f t="shared" si="4"/>
        <v>rokwzgl=4 i lp=200</v>
      </c>
      <c r="J31" s="28" t="str">
        <f t="shared" si="4"/>
        <v>rokwzgl=5 i lp=200</v>
      </c>
      <c r="K31" s="28" t="str">
        <f t="shared" si="4"/>
        <v>rokwzgl=6 i lp=200</v>
      </c>
      <c r="L31" s="28" t="str">
        <f t="shared" si="4"/>
        <v>rokwzgl=7 i lp=200</v>
      </c>
      <c r="M31" s="28" t="str">
        <f t="shared" si="4"/>
        <v>rokwzgl=8 i lp=200</v>
      </c>
      <c r="N31" s="28" t="str">
        <f t="shared" si="5"/>
        <v>rokwzgl=9 i lp=200</v>
      </c>
      <c r="O31" s="28" t="str">
        <f t="shared" si="5"/>
        <v>rokwzgl=10 i lp=200</v>
      </c>
      <c r="P31" s="28" t="str">
        <f t="shared" si="5"/>
        <v>rokwzgl=11 i lp=200</v>
      </c>
      <c r="Q31" s="28" t="str">
        <f t="shared" si="5"/>
        <v>rokwzgl=12 i lp=200</v>
      </c>
      <c r="R31" s="28" t="str">
        <f t="shared" si="5"/>
        <v>rokwzgl=13 i lp=200</v>
      </c>
      <c r="S31" s="28" t="str">
        <f t="shared" si="5"/>
        <v>rokwzgl=14 i lp=200</v>
      </c>
      <c r="T31" s="28" t="str">
        <f t="shared" si="5"/>
        <v>rokwzgl=15 i lp=200</v>
      </c>
      <c r="U31" s="28" t="str">
        <f t="shared" si="5"/>
        <v>rokwzgl=16 i lp=200</v>
      </c>
      <c r="V31" s="28" t="str">
        <f t="shared" si="5"/>
        <v>rokwzgl=17 i lp=200</v>
      </c>
      <c r="W31" s="28" t="str">
        <f t="shared" si="5"/>
        <v>rokwzgl=18 i lp=200</v>
      </c>
      <c r="X31" s="28" t="str">
        <f t="shared" si="6"/>
        <v>rokwzgl=19 i lp=200</v>
      </c>
      <c r="Y31" s="28" t="str">
        <f t="shared" si="6"/>
        <v>rokwzgl=20 i lp=200</v>
      </c>
      <c r="Z31" s="28" t="str">
        <f t="shared" si="6"/>
        <v>rokwzgl=21 i lp=200</v>
      </c>
      <c r="AA31" s="28" t="str">
        <f t="shared" si="6"/>
        <v>rokwzgl=22 i lp=200</v>
      </c>
      <c r="AB31" s="28" t="str">
        <f t="shared" si="6"/>
        <v>rokwzgl=23 i lp=200</v>
      </c>
      <c r="AC31" s="28" t="str">
        <f t="shared" si="6"/>
        <v>rokwzgl=24 i lp=200</v>
      </c>
      <c r="AD31" s="28" t="str">
        <f t="shared" si="6"/>
        <v>rokwzgl=25 i lp=200</v>
      </c>
      <c r="AE31" s="28" t="str">
        <f t="shared" si="6"/>
        <v>rokwzgl=26 i lp=200</v>
      </c>
      <c r="AF31" s="28" t="str">
        <f t="shared" si="6"/>
        <v>rokwzgl=27 i lp=200</v>
      </c>
      <c r="AG31" s="28" t="str">
        <f t="shared" si="6"/>
        <v>rokwzgl=28 i lp=200</v>
      </c>
      <c r="AH31" s="28" t="str">
        <f t="shared" si="6"/>
        <v>rokwzgl=29 i lp=200</v>
      </c>
    </row>
    <row r="32" spans="1:34">
      <c r="A32" s="27">
        <v>210</v>
      </c>
      <c r="B32" s="27">
        <v>4</v>
      </c>
      <c r="C32" s="28" t="s">
        <v>22</v>
      </c>
      <c r="D32" s="28" t="str">
        <f t="shared" si="4"/>
        <v>rokwzgl=0 i lp=210</v>
      </c>
      <c r="E32" s="28" t="str">
        <f t="shared" si="4"/>
        <v>rokwzgl=0 i lp=210</v>
      </c>
      <c r="F32" s="28" t="str">
        <f t="shared" si="4"/>
        <v>rokwzgl=1 i lp=210</v>
      </c>
      <c r="G32" s="28" t="str">
        <f t="shared" si="4"/>
        <v>rokwzgl=2 i lp=210</v>
      </c>
      <c r="H32" s="28" t="str">
        <f t="shared" si="4"/>
        <v>rokwzgl=3 i lp=210</v>
      </c>
      <c r="I32" s="28" t="str">
        <f t="shared" si="4"/>
        <v>rokwzgl=4 i lp=210</v>
      </c>
      <c r="J32" s="28" t="str">
        <f t="shared" si="4"/>
        <v>rokwzgl=5 i lp=210</v>
      </c>
      <c r="K32" s="28" t="str">
        <f t="shared" si="4"/>
        <v>rokwzgl=6 i lp=210</v>
      </c>
      <c r="L32" s="28" t="str">
        <f t="shared" si="4"/>
        <v>rokwzgl=7 i lp=210</v>
      </c>
      <c r="M32" s="28" t="str">
        <f t="shared" si="4"/>
        <v>rokwzgl=8 i lp=210</v>
      </c>
      <c r="N32" s="28" t="str">
        <f t="shared" si="5"/>
        <v>rokwzgl=9 i lp=210</v>
      </c>
      <c r="O32" s="28" t="str">
        <f t="shared" si="5"/>
        <v>rokwzgl=10 i lp=210</v>
      </c>
      <c r="P32" s="28" t="str">
        <f t="shared" si="5"/>
        <v>rokwzgl=11 i lp=210</v>
      </c>
      <c r="Q32" s="28" t="str">
        <f t="shared" si="5"/>
        <v>rokwzgl=12 i lp=210</v>
      </c>
      <c r="R32" s="28" t="str">
        <f t="shared" si="5"/>
        <v>rokwzgl=13 i lp=210</v>
      </c>
      <c r="S32" s="28" t="str">
        <f t="shared" si="5"/>
        <v>rokwzgl=14 i lp=210</v>
      </c>
      <c r="T32" s="28" t="str">
        <f t="shared" si="5"/>
        <v>rokwzgl=15 i lp=210</v>
      </c>
      <c r="U32" s="28" t="str">
        <f t="shared" si="5"/>
        <v>rokwzgl=16 i lp=210</v>
      </c>
      <c r="V32" s="28" t="str">
        <f t="shared" si="5"/>
        <v>rokwzgl=17 i lp=210</v>
      </c>
      <c r="W32" s="28" t="str">
        <f t="shared" si="5"/>
        <v>rokwzgl=18 i lp=210</v>
      </c>
      <c r="X32" s="28" t="str">
        <f t="shared" si="6"/>
        <v>rokwzgl=19 i lp=210</v>
      </c>
      <c r="Y32" s="28" t="str">
        <f t="shared" si="6"/>
        <v>rokwzgl=20 i lp=210</v>
      </c>
      <c r="Z32" s="28" t="str">
        <f t="shared" si="6"/>
        <v>rokwzgl=21 i lp=210</v>
      </c>
      <c r="AA32" s="28" t="str">
        <f t="shared" si="6"/>
        <v>rokwzgl=22 i lp=210</v>
      </c>
      <c r="AB32" s="28" t="str">
        <f t="shared" si="6"/>
        <v>rokwzgl=23 i lp=210</v>
      </c>
      <c r="AC32" s="28" t="str">
        <f t="shared" si="6"/>
        <v>rokwzgl=24 i lp=210</v>
      </c>
      <c r="AD32" s="28" t="str">
        <f t="shared" si="6"/>
        <v>rokwzgl=25 i lp=210</v>
      </c>
      <c r="AE32" s="28" t="str">
        <f t="shared" si="6"/>
        <v>rokwzgl=26 i lp=210</v>
      </c>
      <c r="AF32" s="28" t="str">
        <f t="shared" si="6"/>
        <v>rokwzgl=27 i lp=210</v>
      </c>
      <c r="AG32" s="28" t="str">
        <f t="shared" si="6"/>
        <v>rokwzgl=28 i lp=210</v>
      </c>
      <c r="AH32" s="28" t="str">
        <f t="shared" si="6"/>
        <v>rokwzgl=29 i lp=210</v>
      </c>
    </row>
    <row r="33" spans="1:34">
      <c r="A33" s="27">
        <v>220</v>
      </c>
      <c r="B33" s="27" t="s">
        <v>140</v>
      </c>
      <c r="C33" s="28" t="s">
        <v>66</v>
      </c>
      <c r="D33" s="28" t="str">
        <f t="shared" si="4"/>
        <v>rokwzgl=0 i lp=220</v>
      </c>
      <c r="E33" s="28" t="str">
        <f t="shared" si="4"/>
        <v>rokwzgl=0 i lp=220</v>
      </c>
      <c r="F33" s="28" t="str">
        <f t="shared" si="4"/>
        <v>rokwzgl=1 i lp=220</v>
      </c>
      <c r="G33" s="28" t="str">
        <f t="shared" si="4"/>
        <v>rokwzgl=2 i lp=220</v>
      </c>
      <c r="H33" s="28" t="str">
        <f t="shared" si="4"/>
        <v>rokwzgl=3 i lp=220</v>
      </c>
      <c r="I33" s="28" t="str">
        <f t="shared" si="4"/>
        <v>rokwzgl=4 i lp=220</v>
      </c>
      <c r="J33" s="28" t="str">
        <f t="shared" si="4"/>
        <v>rokwzgl=5 i lp=220</v>
      </c>
      <c r="K33" s="28" t="str">
        <f t="shared" si="4"/>
        <v>rokwzgl=6 i lp=220</v>
      </c>
      <c r="L33" s="28" t="str">
        <f t="shared" si="4"/>
        <v>rokwzgl=7 i lp=220</v>
      </c>
      <c r="M33" s="28" t="str">
        <f t="shared" si="4"/>
        <v>rokwzgl=8 i lp=220</v>
      </c>
      <c r="N33" s="28" t="str">
        <f t="shared" si="5"/>
        <v>rokwzgl=9 i lp=220</v>
      </c>
      <c r="O33" s="28" t="str">
        <f t="shared" si="5"/>
        <v>rokwzgl=10 i lp=220</v>
      </c>
      <c r="P33" s="28" t="str">
        <f t="shared" si="5"/>
        <v>rokwzgl=11 i lp=220</v>
      </c>
      <c r="Q33" s="28" t="str">
        <f t="shared" si="5"/>
        <v>rokwzgl=12 i lp=220</v>
      </c>
      <c r="R33" s="28" t="str">
        <f t="shared" si="5"/>
        <v>rokwzgl=13 i lp=220</v>
      </c>
      <c r="S33" s="28" t="str">
        <f t="shared" si="5"/>
        <v>rokwzgl=14 i lp=220</v>
      </c>
      <c r="T33" s="28" t="str">
        <f t="shared" si="5"/>
        <v>rokwzgl=15 i lp=220</v>
      </c>
      <c r="U33" s="28" t="str">
        <f t="shared" si="5"/>
        <v>rokwzgl=16 i lp=220</v>
      </c>
      <c r="V33" s="28" t="str">
        <f t="shared" si="5"/>
        <v>rokwzgl=17 i lp=220</v>
      </c>
      <c r="W33" s="28" t="str">
        <f t="shared" si="5"/>
        <v>rokwzgl=18 i lp=220</v>
      </c>
      <c r="X33" s="28" t="str">
        <f t="shared" si="6"/>
        <v>rokwzgl=19 i lp=220</v>
      </c>
      <c r="Y33" s="28" t="str">
        <f t="shared" si="6"/>
        <v>rokwzgl=20 i lp=220</v>
      </c>
      <c r="Z33" s="28" t="str">
        <f t="shared" si="6"/>
        <v>rokwzgl=21 i lp=220</v>
      </c>
      <c r="AA33" s="28" t="str">
        <f t="shared" si="6"/>
        <v>rokwzgl=22 i lp=220</v>
      </c>
      <c r="AB33" s="28" t="str">
        <f t="shared" si="6"/>
        <v>rokwzgl=23 i lp=220</v>
      </c>
      <c r="AC33" s="28" t="str">
        <f t="shared" si="6"/>
        <v>rokwzgl=24 i lp=220</v>
      </c>
      <c r="AD33" s="28" t="str">
        <f t="shared" si="6"/>
        <v>rokwzgl=25 i lp=220</v>
      </c>
      <c r="AE33" s="28" t="str">
        <f t="shared" si="6"/>
        <v>rokwzgl=26 i lp=220</v>
      </c>
      <c r="AF33" s="28" t="str">
        <f t="shared" si="6"/>
        <v>rokwzgl=27 i lp=220</v>
      </c>
      <c r="AG33" s="28" t="str">
        <f t="shared" si="6"/>
        <v>rokwzgl=28 i lp=220</v>
      </c>
      <c r="AH33" s="28" t="str">
        <f t="shared" si="6"/>
        <v>rokwzgl=29 i lp=220</v>
      </c>
    </row>
    <row r="34" spans="1:34">
      <c r="A34" s="27">
        <v>230</v>
      </c>
      <c r="B34" s="27" t="s">
        <v>67</v>
      </c>
      <c r="C34" s="28" t="s">
        <v>68</v>
      </c>
      <c r="D34" s="28" t="str">
        <f t="shared" si="4"/>
        <v>rokwzgl=0 i lp=230</v>
      </c>
      <c r="E34" s="28" t="str">
        <f t="shared" si="4"/>
        <v>rokwzgl=0 i lp=230</v>
      </c>
      <c r="F34" s="28" t="str">
        <f t="shared" si="4"/>
        <v>rokwzgl=1 i lp=230</v>
      </c>
      <c r="G34" s="28" t="str">
        <f t="shared" si="4"/>
        <v>rokwzgl=2 i lp=230</v>
      </c>
      <c r="H34" s="28" t="str">
        <f t="shared" si="4"/>
        <v>rokwzgl=3 i lp=230</v>
      </c>
      <c r="I34" s="28" t="str">
        <f t="shared" si="4"/>
        <v>rokwzgl=4 i lp=230</v>
      </c>
      <c r="J34" s="28" t="str">
        <f t="shared" si="4"/>
        <v>rokwzgl=5 i lp=230</v>
      </c>
      <c r="K34" s="28" t="str">
        <f t="shared" si="4"/>
        <v>rokwzgl=6 i lp=230</v>
      </c>
      <c r="L34" s="28" t="str">
        <f t="shared" si="4"/>
        <v>rokwzgl=7 i lp=230</v>
      </c>
      <c r="M34" s="28" t="str">
        <f t="shared" si="4"/>
        <v>rokwzgl=8 i lp=230</v>
      </c>
      <c r="N34" s="28" t="str">
        <f t="shared" si="5"/>
        <v>rokwzgl=9 i lp=230</v>
      </c>
      <c r="O34" s="28" t="str">
        <f t="shared" si="5"/>
        <v>rokwzgl=10 i lp=230</v>
      </c>
      <c r="P34" s="28" t="str">
        <f t="shared" si="5"/>
        <v>rokwzgl=11 i lp=230</v>
      </c>
      <c r="Q34" s="28" t="str">
        <f t="shared" si="5"/>
        <v>rokwzgl=12 i lp=230</v>
      </c>
      <c r="R34" s="28" t="str">
        <f t="shared" si="5"/>
        <v>rokwzgl=13 i lp=230</v>
      </c>
      <c r="S34" s="28" t="str">
        <f t="shared" si="5"/>
        <v>rokwzgl=14 i lp=230</v>
      </c>
      <c r="T34" s="28" t="str">
        <f t="shared" si="5"/>
        <v>rokwzgl=15 i lp=230</v>
      </c>
      <c r="U34" s="28" t="str">
        <f t="shared" si="5"/>
        <v>rokwzgl=16 i lp=230</v>
      </c>
      <c r="V34" s="28" t="str">
        <f t="shared" si="5"/>
        <v>rokwzgl=17 i lp=230</v>
      </c>
      <c r="W34" s="28" t="str">
        <f t="shared" si="5"/>
        <v>rokwzgl=18 i lp=230</v>
      </c>
      <c r="X34" s="28" t="str">
        <f t="shared" si="6"/>
        <v>rokwzgl=19 i lp=230</v>
      </c>
      <c r="Y34" s="28" t="str">
        <f t="shared" si="6"/>
        <v>rokwzgl=20 i lp=230</v>
      </c>
      <c r="Z34" s="28" t="str">
        <f t="shared" si="6"/>
        <v>rokwzgl=21 i lp=230</v>
      </c>
      <c r="AA34" s="28" t="str">
        <f t="shared" si="6"/>
        <v>rokwzgl=22 i lp=230</v>
      </c>
      <c r="AB34" s="28" t="str">
        <f t="shared" si="6"/>
        <v>rokwzgl=23 i lp=230</v>
      </c>
      <c r="AC34" s="28" t="str">
        <f t="shared" si="6"/>
        <v>rokwzgl=24 i lp=230</v>
      </c>
      <c r="AD34" s="28" t="str">
        <f t="shared" si="6"/>
        <v>rokwzgl=25 i lp=230</v>
      </c>
      <c r="AE34" s="28" t="str">
        <f t="shared" si="6"/>
        <v>rokwzgl=26 i lp=230</v>
      </c>
      <c r="AF34" s="28" t="str">
        <f t="shared" si="6"/>
        <v>rokwzgl=27 i lp=230</v>
      </c>
      <c r="AG34" s="28" t="str">
        <f t="shared" si="6"/>
        <v>rokwzgl=28 i lp=230</v>
      </c>
      <c r="AH34" s="28" t="str">
        <f t="shared" si="6"/>
        <v>rokwzgl=29 i lp=230</v>
      </c>
    </row>
    <row r="35" spans="1:34">
      <c r="A35" s="27">
        <v>240</v>
      </c>
      <c r="B35" s="27" t="s">
        <v>141</v>
      </c>
      <c r="C35" s="28" t="s">
        <v>69</v>
      </c>
      <c r="D35" s="28" t="str">
        <f t="shared" si="4"/>
        <v>rokwzgl=0 i lp=240</v>
      </c>
      <c r="E35" s="28" t="str">
        <f t="shared" si="4"/>
        <v>rokwzgl=0 i lp=240</v>
      </c>
      <c r="F35" s="28" t="str">
        <f t="shared" si="4"/>
        <v>rokwzgl=1 i lp=240</v>
      </c>
      <c r="G35" s="28" t="str">
        <f t="shared" si="4"/>
        <v>rokwzgl=2 i lp=240</v>
      </c>
      <c r="H35" s="28" t="str">
        <f t="shared" si="4"/>
        <v>rokwzgl=3 i lp=240</v>
      </c>
      <c r="I35" s="28" t="str">
        <f t="shared" si="4"/>
        <v>rokwzgl=4 i lp=240</v>
      </c>
      <c r="J35" s="28" t="str">
        <f t="shared" si="4"/>
        <v>rokwzgl=5 i lp=240</v>
      </c>
      <c r="K35" s="28" t="str">
        <f t="shared" si="4"/>
        <v>rokwzgl=6 i lp=240</v>
      </c>
      <c r="L35" s="28" t="str">
        <f t="shared" si="4"/>
        <v>rokwzgl=7 i lp=240</v>
      </c>
      <c r="M35" s="28" t="str">
        <f t="shared" si="4"/>
        <v>rokwzgl=8 i lp=240</v>
      </c>
      <c r="N35" s="28" t="str">
        <f t="shared" si="5"/>
        <v>rokwzgl=9 i lp=240</v>
      </c>
      <c r="O35" s="28" t="str">
        <f t="shared" si="5"/>
        <v>rokwzgl=10 i lp=240</v>
      </c>
      <c r="P35" s="28" t="str">
        <f t="shared" si="5"/>
        <v>rokwzgl=11 i lp=240</v>
      </c>
      <c r="Q35" s="28" t="str">
        <f t="shared" si="5"/>
        <v>rokwzgl=12 i lp=240</v>
      </c>
      <c r="R35" s="28" t="str">
        <f t="shared" si="5"/>
        <v>rokwzgl=13 i lp=240</v>
      </c>
      <c r="S35" s="28" t="str">
        <f t="shared" si="5"/>
        <v>rokwzgl=14 i lp=240</v>
      </c>
      <c r="T35" s="28" t="str">
        <f t="shared" si="5"/>
        <v>rokwzgl=15 i lp=240</v>
      </c>
      <c r="U35" s="28" t="str">
        <f t="shared" si="5"/>
        <v>rokwzgl=16 i lp=240</v>
      </c>
      <c r="V35" s="28" t="str">
        <f t="shared" si="5"/>
        <v>rokwzgl=17 i lp=240</v>
      </c>
      <c r="W35" s="28" t="str">
        <f t="shared" si="5"/>
        <v>rokwzgl=18 i lp=240</v>
      </c>
      <c r="X35" s="28" t="str">
        <f t="shared" si="6"/>
        <v>rokwzgl=19 i lp=240</v>
      </c>
      <c r="Y35" s="28" t="str">
        <f t="shared" si="6"/>
        <v>rokwzgl=20 i lp=240</v>
      </c>
      <c r="Z35" s="28" t="str">
        <f t="shared" si="6"/>
        <v>rokwzgl=21 i lp=240</v>
      </c>
      <c r="AA35" s="28" t="str">
        <f t="shared" si="6"/>
        <v>rokwzgl=22 i lp=240</v>
      </c>
      <c r="AB35" s="28" t="str">
        <f t="shared" si="6"/>
        <v>rokwzgl=23 i lp=240</v>
      </c>
      <c r="AC35" s="28" t="str">
        <f t="shared" si="6"/>
        <v>rokwzgl=24 i lp=240</v>
      </c>
      <c r="AD35" s="28" t="str">
        <f t="shared" si="6"/>
        <v>rokwzgl=25 i lp=240</v>
      </c>
      <c r="AE35" s="28" t="str">
        <f t="shared" si="6"/>
        <v>rokwzgl=26 i lp=240</v>
      </c>
      <c r="AF35" s="28" t="str">
        <f t="shared" si="6"/>
        <v>rokwzgl=27 i lp=240</v>
      </c>
      <c r="AG35" s="28" t="str">
        <f t="shared" si="6"/>
        <v>rokwzgl=28 i lp=240</v>
      </c>
      <c r="AH35" s="28" t="str">
        <f t="shared" si="6"/>
        <v>rokwzgl=29 i lp=240</v>
      </c>
    </row>
    <row r="36" spans="1:34">
      <c r="A36" s="27">
        <v>250</v>
      </c>
      <c r="B36" s="27" t="s">
        <v>70</v>
      </c>
      <c r="C36" s="28" t="s">
        <v>71</v>
      </c>
      <c r="D36" s="28" t="str">
        <f t="shared" ref="D36:M45" si="7">+"rokwzgl="&amp;D$9&amp;" i lp="&amp;$A36</f>
        <v>rokwzgl=0 i lp=250</v>
      </c>
      <c r="E36" s="28" t="str">
        <f t="shared" si="7"/>
        <v>rokwzgl=0 i lp=250</v>
      </c>
      <c r="F36" s="28" t="str">
        <f t="shared" si="7"/>
        <v>rokwzgl=1 i lp=250</v>
      </c>
      <c r="G36" s="28" t="str">
        <f t="shared" si="7"/>
        <v>rokwzgl=2 i lp=250</v>
      </c>
      <c r="H36" s="28" t="str">
        <f t="shared" si="7"/>
        <v>rokwzgl=3 i lp=250</v>
      </c>
      <c r="I36" s="28" t="str">
        <f t="shared" si="7"/>
        <v>rokwzgl=4 i lp=250</v>
      </c>
      <c r="J36" s="28" t="str">
        <f t="shared" si="7"/>
        <v>rokwzgl=5 i lp=250</v>
      </c>
      <c r="K36" s="28" t="str">
        <f t="shared" si="7"/>
        <v>rokwzgl=6 i lp=250</v>
      </c>
      <c r="L36" s="28" t="str">
        <f t="shared" si="7"/>
        <v>rokwzgl=7 i lp=250</v>
      </c>
      <c r="M36" s="28" t="str">
        <f t="shared" si="7"/>
        <v>rokwzgl=8 i lp=250</v>
      </c>
      <c r="N36" s="28" t="str">
        <f t="shared" ref="N36:W45" si="8">+"rokwzgl="&amp;N$9&amp;" i lp="&amp;$A36</f>
        <v>rokwzgl=9 i lp=250</v>
      </c>
      <c r="O36" s="28" t="str">
        <f t="shared" si="8"/>
        <v>rokwzgl=10 i lp=250</v>
      </c>
      <c r="P36" s="28" t="str">
        <f t="shared" si="8"/>
        <v>rokwzgl=11 i lp=250</v>
      </c>
      <c r="Q36" s="28" t="str">
        <f t="shared" si="8"/>
        <v>rokwzgl=12 i lp=250</v>
      </c>
      <c r="R36" s="28" t="str">
        <f t="shared" si="8"/>
        <v>rokwzgl=13 i lp=250</v>
      </c>
      <c r="S36" s="28" t="str">
        <f t="shared" si="8"/>
        <v>rokwzgl=14 i lp=250</v>
      </c>
      <c r="T36" s="28" t="str">
        <f t="shared" si="8"/>
        <v>rokwzgl=15 i lp=250</v>
      </c>
      <c r="U36" s="28" t="str">
        <f t="shared" si="8"/>
        <v>rokwzgl=16 i lp=250</v>
      </c>
      <c r="V36" s="28" t="str">
        <f t="shared" si="8"/>
        <v>rokwzgl=17 i lp=250</v>
      </c>
      <c r="W36" s="28" t="str">
        <f t="shared" si="8"/>
        <v>rokwzgl=18 i lp=250</v>
      </c>
      <c r="X36" s="28" t="str">
        <f t="shared" ref="X36:AH45" si="9">+"rokwzgl="&amp;X$9&amp;" i lp="&amp;$A36</f>
        <v>rokwzgl=19 i lp=250</v>
      </c>
      <c r="Y36" s="28" t="str">
        <f t="shared" si="9"/>
        <v>rokwzgl=20 i lp=250</v>
      </c>
      <c r="Z36" s="28" t="str">
        <f t="shared" si="9"/>
        <v>rokwzgl=21 i lp=250</v>
      </c>
      <c r="AA36" s="28" t="str">
        <f t="shared" si="9"/>
        <v>rokwzgl=22 i lp=250</v>
      </c>
      <c r="AB36" s="28" t="str">
        <f t="shared" si="9"/>
        <v>rokwzgl=23 i lp=250</v>
      </c>
      <c r="AC36" s="28" t="str">
        <f t="shared" si="9"/>
        <v>rokwzgl=24 i lp=250</v>
      </c>
      <c r="AD36" s="28" t="str">
        <f t="shared" si="9"/>
        <v>rokwzgl=25 i lp=250</v>
      </c>
      <c r="AE36" s="28" t="str">
        <f t="shared" si="9"/>
        <v>rokwzgl=26 i lp=250</v>
      </c>
      <c r="AF36" s="28" t="str">
        <f t="shared" si="9"/>
        <v>rokwzgl=27 i lp=250</v>
      </c>
      <c r="AG36" s="28" t="str">
        <f t="shared" si="9"/>
        <v>rokwzgl=28 i lp=250</v>
      </c>
      <c r="AH36" s="28" t="str">
        <f t="shared" si="9"/>
        <v>rokwzgl=29 i lp=250</v>
      </c>
    </row>
    <row r="37" spans="1:34">
      <c r="A37" s="27">
        <v>260</v>
      </c>
      <c r="B37" s="27" t="s">
        <v>142</v>
      </c>
      <c r="C37" s="28" t="s">
        <v>72</v>
      </c>
      <c r="D37" s="28" t="str">
        <f t="shared" si="7"/>
        <v>rokwzgl=0 i lp=260</v>
      </c>
      <c r="E37" s="28" t="str">
        <f t="shared" si="7"/>
        <v>rokwzgl=0 i lp=260</v>
      </c>
      <c r="F37" s="28" t="str">
        <f t="shared" si="7"/>
        <v>rokwzgl=1 i lp=260</v>
      </c>
      <c r="G37" s="28" t="str">
        <f t="shared" si="7"/>
        <v>rokwzgl=2 i lp=260</v>
      </c>
      <c r="H37" s="28" t="str">
        <f t="shared" si="7"/>
        <v>rokwzgl=3 i lp=260</v>
      </c>
      <c r="I37" s="28" t="str">
        <f t="shared" si="7"/>
        <v>rokwzgl=4 i lp=260</v>
      </c>
      <c r="J37" s="28" t="str">
        <f t="shared" si="7"/>
        <v>rokwzgl=5 i lp=260</v>
      </c>
      <c r="K37" s="28" t="str">
        <f t="shared" si="7"/>
        <v>rokwzgl=6 i lp=260</v>
      </c>
      <c r="L37" s="28" t="str">
        <f t="shared" si="7"/>
        <v>rokwzgl=7 i lp=260</v>
      </c>
      <c r="M37" s="28" t="str">
        <f t="shared" si="7"/>
        <v>rokwzgl=8 i lp=260</v>
      </c>
      <c r="N37" s="28" t="str">
        <f t="shared" si="8"/>
        <v>rokwzgl=9 i lp=260</v>
      </c>
      <c r="O37" s="28" t="str">
        <f t="shared" si="8"/>
        <v>rokwzgl=10 i lp=260</v>
      </c>
      <c r="P37" s="28" t="str">
        <f t="shared" si="8"/>
        <v>rokwzgl=11 i lp=260</v>
      </c>
      <c r="Q37" s="28" t="str">
        <f t="shared" si="8"/>
        <v>rokwzgl=12 i lp=260</v>
      </c>
      <c r="R37" s="28" t="str">
        <f t="shared" si="8"/>
        <v>rokwzgl=13 i lp=260</v>
      </c>
      <c r="S37" s="28" t="str">
        <f t="shared" si="8"/>
        <v>rokwzgl=14 i lp=260</v>
      </c>
      <c r="T37" s="28" t="str">
        <f t="shared" si="8"/>
        <v>rokwzgl=15 i lp=260</v>
      </c>
      <c r="U37" s="28" t="str">
        <f t="shared" si="8"/>
        <v>rokwzgl=16 i lp=260</v>
      </c>
      <c r="V37" s="28" t="str">
        <f t="shared" si="8"/>
        <v>rokwzgl=17 i lp=260</v>
      </c>
      <c r="W37" s="28" t="str">
        <f t="shared" si="8"/>
        <v>rokwzgl=18 i lp=260</v>
      </c>
      <c r="X37" s="28" t="str">
        <f t="shared" si="9"/>
        <v>rokwzgl=19 i lp=260</v>
      </c>
      <c r="Y37" s="28" t="str">
        <f t="shared" si="9"/>
        <v>rokwzgl=20 i lp=260</v>
      </c>
      <c r="Z37" s="28" t="str">
        <f t="shared" si="9"/>
        <v>rokwzgl=21 i lp=260</v>
      </c>
      <c r="AA37" s="28" t="str">
        <f t="shared" si="9"/>
        <v>rokwzgl=22 i lp=260</v>
      </c>
      <c r="AB37" s="28" t="str">
        <f t="shared" si="9"/>
        <v>rokwzgl=23 i lp=260</v>
      </c>
      <c r="AC37" s="28" t="str">
        <f t="shared" si="9"/>
        <v>rokwzgl=24 i lp=260</v>
      </c>
      <c r="AD37" s="28" t="str">
        <f t="shared" si="9"/>
        <v>rokwzgl=25 i lp=260</v>
      </c>
      <c r="AE37" s="28" t="str">
        <f t="shared" si="9"/>
        <v>rokwzgl=26 i lp=260</v>
      </c>
      <c r="AF37" s="28" t="str">
        <f t="shared" si="9"/>
        <v>rokwzgl=27 i lp=260</v>
      </c>
      <c r="AG37" s="28" t="str">
        <f t="shared" si="9"/>
        <v>rokwzgl=28 i lp=260</v>
      </c>
      <c r="AH37" s="28" t="str">
        <f t="shared" si="9"/>
        <v>rokwzgl=29 i lp=260</v>
      </c>
    </row>
    <row r="38" spans="1:34">
      <c r="A38" s="27">
        <v>270</v>
      </c>
      <c r="B38" s="27" t="s">
        <v>73</v>
      </c>
      <c r="C38" s="28" t="s">
        <v>71</v>
      </c>
      <c r="D38" s="28" t="str">
        <f t="shared" si="7"/>
        <v>rokwzgl=0 i lp=270</v>
      </c>
      <c r="E38" s="28" t="str">
        <f t="shared" si="7"/>
        <v>rokwzgl=0 i lp=270</v>
      </c>
      <c r="F38" s="28" t="str">
        <f t="shared" si="7"/>
        <v>rokwzgl=1 i lp=270</v>
      </c>
      <c r="G38" s="28" t="str">
        <f t="shared" si="7"/>
        <v>rokwzgl=2 i lp=270</v>
      </c>
      <c r="H38" s="28" t="str">
        <f t="shared" si="7"/>
        <v>rokwzgl=3 i lp=270</v>
      </c>
      <c r="I38" s="28" t="str">
        <f t="shared" si="7"/>
        <v>rokwzgl=4 i lp=270</v>
      </c>
      <c r="J38" s="28" t="str">
        <f t="shared" si="7"/>
        <v>rokwzgl=5 i lp=270</v>
      </c>
      <c r="K38" s="28" t="str">
        <f t="shared" si="7"/>
        <v>rokwzgl=6 i lp=270</v>
      </c>
      <c r="L38" s="28" t="str">
        <f t="shared" si="7"/>
        <v>rokwzgl=7 i lp=270</v>
      </c>
      <c r="M38" s="28" t="str">
        <f t="shared" si="7"/>
        <v>rokwzgl=8 i lp=270</v>
      </c>
      <c r="N38" s="28" t="str">
        <f t="shared" si="8"/>
        <v>rokwzgl=9 i lp=270</v>
      </c>
      <c r="O38" s="28" t="str">
        <f t="shared" si="8"/>
        <v>rokwzgl=10 i lp=270</v>
      </c>
      <c r="P38" s="28" t="str">
        <f t="shared" si="8"/>
        <v>rokwzgl=11 i lp=270</v>
      </c>
      <c r="Q38" s="28" t="str">
        <f t="shared" si="8"/>
        <v>rokwzgl=12 i lp=270</v>
      </c>
      <c r="R38" s="28" t="str">
        <f t="shared" si="8"/>
        <v>rokwzgl=13 i lp=270</v>
      </c>
      <c r="S38" s="28" t="str">
        <f t="shared" si="8"/>
        <v>rokwzgl=14 i lp=270</v>
      </c>
      <c r="T38" s="28" t="str">
        <f t="shared" si="8"/>
        <v>rokwzgl=15 i lp=270</v>
      </c>
      <c r="U38" s="28" t="str">
        <f t="shared" si="8"/>
        <v>rokwzgl=16 i lp=270</v>
      </c>
      <c r="V38" s="28" t="str">
        <f t="shared" si="8"/>
        <v>rokwzgl=17 i lp=270</v>
      </c>
      <c r="W38" s="28" t="str">
        <f t="shared" si="8"/>
        <v>rokwzgl=18 i lp=270</v>
      </c>
      <c r="X38" s="28" t="str">
        <f t="shared" si="9"/>
        <v>rokwzgl=19 i lp=270</v>
      </c>
      <c r="Y38" s="28" t="str">
        <f t="shared" si="9"/>
        <v>rokwzgl=20 i lp=270</v>
      </c>
      <c r="Z38" s="28" t="str">
        <f t="shared" si="9"/>
        <v>rokwzgl=21 i lp=270</v>
      </c>
      <c r="AA38" s="28" t="str">
        <f t="shared" si="9"/>
        <v>rokwzgl=22 i lp=270</v>
      </c>
      <c r="AB38" s="28" t="str">
        <f t="shared" si="9"/>
        <v>rokwzgl=23 i lp=270</v>
      </c>
      <c r="AC38" s="28" t="str">
        <f t="shared" si="9"/>
        <v>rokwzgl=24 i lp=270</v>
      </c>
      <c r="AD38" s="28" t="str">
        <f t="shared" si="9"/>
        <v>rokwzgl=25 i lp=270</v>
      </c>
      <c r="AE38" s="28" t="str">
        <f t="shared" si="9"/>
        <v>rokwzgl=26 i lp=270</v>
      </c>
      <c r="AF38" s="28" t="str">
        <f t="shared" si="9"/>
        <v>rokwzgl=27 i lp=270</v>
      </c>
      <c r="AG38" s="28" t="str">
        <f t="shared" si="9"/>
        <v>rokwzgl=28 i lp=270</v>
      </c>
      <c r="AH38" s="28" t="str">
        <f t="shared" si="9"/>
        <v>rokwzgl=29 i lp=270</v>
      </c>
    </row>
    <row r="39" spans="1:34">
      <c r="A39" s="27">
        <v>280</v>
      </c>
      <c r="B39" s="27" t="s">
        <v>143</v>
      </c>
      <c r="C39" s="28" t="s">
        <v>74</v>
      </c>
      <c r="D39" s="28" t="str">
        <f t="shared" si="7"/>
        <v>rokwzgl=0 i lp=280</v>
      </c>
      <c r="E39" s="28" t="str">
        <f t="shared" si="7"/>
        <v>rokwzgl=0 i lp=280</v>
      </c>
      <c r="F39" s="28" t="str">
        <f t="shared" si="7"/>
        <v>rokwzgl=1 i lp=280</v>
      </c>
      <c r="G39" s="28" t="str">
        <f t="shared" si="7"/>
        <v>rokwzgl=2 i lp=280</v>
      </c>
      <c r="H39" s="28" t="str">
        <f t="shared" si="7"/>
        <v>rokwzgl=3 i lp=280</v>
      </c>
      <c r="I39" s="28" t="str">
        <f t="shared" si="7"/>
        <v>rokwzgl=4 i lp=280</v>
      </c>
      <c r="J39" s="28" t="str">
        <f t="shared" si="7"/>
        <v>rokwzgl=5 i lp=280</v>
      </c>
      <c r="K39" s="28" t="str">
        <f t="shared" si="7"/>
        <v>rokwzgl=6 i lp=280</v>
      </c>
      <c r="L39" s="28" t="str">
        <f t="shared" si="7"/>
        <v>rokwzgl=7 i lp=280</v>
      </c>
      <c r="M39" s="28" t="str">
        <f t="shared" si="7"/>
        <v>rokwzgl=8 i lp=280</v>
      </c>
      <c r="N39" s="28" t="str">
        <f t="shared" si="8"/>
        <v>rokwzgl=9 i lp=280</v>
      </c>
      <c r="O39" s="28" t="str">
        <f t="shared" si="8"/>
        <v>rokwzgl=10 i lp=280</v>
      </c>
      <c r="P39" s="28" t="str">
        <f t="shared" si="8"/>
        <v>rokwzgl=11 i lp=280</v>
      </c>
      <c r="Q39" s="28" t="str">
        <f t="shared" si="8"/>
        <v>rokwzgl=12 i lp=280</v>
      </c>
      <c r="R39" s="28" t="str">
        <f t="shared" si="8"/>
        <v>rokwzgl=13 i lp=280</v>
      </c>
      <c r="S39" s="28" t="str">
        <f t="shared" si="8"/>
        <v>rokwzgl=14 i lp=280</v>
      </c>
      <c r="T39" s="28" t="str">
        <f t="shared" si="8"/>
        <v>rokwzgl=15 i lp=280</v>
      </c>
      <c r="U39" s="28" t="str">
        <f t="shared" si="8"/>
        <v>rokwzgl=16 i lp=280</v>
      </c>
      <c r="V39" s="28" t="str">
        <f t="shared" si="8"/>
        <v>rokwzgl=17 i lp=280</v>
      </c>
      <c r="W39" s="28" t="str">
        <f t="shared" si="8"/>
        <v>rokwzgl=18 i lp=280</v>
      </c>
      <c r="X39" s="28" t="str">
        <f t="shared" si="9"/>
        <v>rokwzgl=19 i lp=280</v>
      </c>
      <c r="Y39" s="28" t="str">
        <f t="shared" si="9"/>
        <v>rokwzgl=20 i lp=280</v>
      </c>
      <c r="Z39" s="28" t="str">
        <f t="shared" si="9"/>
        <v>rokwzgl=21 i lp=280</v>
      </c>
      <c r="AA39" s="28" t="str">
        <f t="shared" si="9"/>
        <v>rokwzgl=22 i lp=280</v>
      </c>
      <c r="AB39" s="28" t="str">
        <f t="shared" si="9"/>
        <v>rokwzgl=23 i lp=280</v>
      </c>
      <c r="AC39" s="28" t="str">
        <f t="shared" si="9"/>
        <v>rokwzgl=24 i lp=280</v>
      </c>
      <c r="AD39" s="28" t="str">
        <f t="shared" si="9"/>
        <v>rokwzgl=25 i lp=280</v>
      </c>
      <c r="AE39" s="28" t="str">
        <f t="shared" si="9"/>
        <v>rokwzgl=26 i lp=280</v>
      </c>
      <c r="AF39" s="28" t="str">
        <f t="shared" si="9"/>
        <v>rokwzgl=27 i lp=280</v>
      </c>
      <c r="AG39" s="28" t="str">
        <f t="shared" si="9"/>
        <v>rokwzgl=28 i lp=280</v>
      </c>
      <c r="AH39" s="28" t="str">
        <f t="shared" si="9"/>
        <v>rokwzgl=29 i lp=280</v>
      </c>
    </row>
    <row r="40" spans="1:34">
      <c r="A40" s="27">
        <v>290</v>
      </c>
      <c r="B40" s="27" t="s">
        <v>75</v>
      </c>
      <c r="C40" s="28" t="s">
        <v>71</v>
      </c>
      <c r="D40" s="28" t="str">
        <f t="shared" si="7"/>
        <v>rokwzgl=0 i lp=290</v>
      </c>
      <c r="E40" s="28" t="str">
        <f t="shared" si="7"/>
        <v>rokwzgl=0 i lp=290</v>
      </c>
      <c r="F40" s="28" t="str">
        <f t="shared" si="7"/>
        <v>rokwzgl=1 i lp=290</v>
      </c>
      <c r="G40" s="28" t="str">
        <f t="shared" si="7"/>
        <v>rokwzgl=2 i lp=290</v>
      </c>
      <c r="H40" s="28" t="str">
        <f t="shared" si="7"/>
        <v>rokwzgl=3 i lp=290</v>
      </c>
      <c r="I40" s="28" t="str">
        <f t="shared" si="7"/>
        <v>rokwzgl=4 i lp=290</v>
      </c>
      <c r="J40" s="28" t="str">
        <f t="shared" si="7"/>
        <v>rokwzgl=5 i lp=290</v>
      </c>
      <c r="K40" s="28" t="str">
        <f t="shared" si="7"/>
        <v>rokwzgl=6 i lp=290</v>
      </c>
      <c r="L40" s="28" t="str">
        <f t="shared" si="7"/>
        <v>rokwzgl=7 i lp=290</v>
      </c>
      <c r="M40" s="28" t="str">
        <f t="shared" si="7"/>
        <v>rokwzgl=8 i lp=290</v>
      </c>
      <c r="N40" s="28" t="str">
        <f t="shared" si="8"/>
        <v>rokwzgl=9 i lp=290</v>
      </c>
      <c r="O40" s="28" t="str">
        <f t="shared" si="8"/>
        <v>rokwzgl=10 i lp=290</v>
      </c>
      <c r="P40" s="28" t="str">
        <f t="shared" si="8"/>
        <v>rokwzgl=11 i lp=290</v>
      </c>
      <c r="Q40" s="28" t="str">
        <f t="shared" si="8"/>
        <v>rokwzgl=12 i lp=290</v>
      </c>
      <c r="R40" s="28" t="str">
        <f t="shared" si="8"/>
        <v>rokwzgl=13 i lp=290</v>
      </c>
      <c r="S40" s="28" t="str">
        <f t="shared" si="8"/>
        <v>rokwzgl=14 i lp=290</v>
      </c>
      <c r="T40" s="28" t="str">
        <f t="shared" si="8"/>
        <v>rokwzgl=15 i lp=290</v>
      </c>
      <c r="U40" s="28" t="str">
        <f t="shared" si="8"/>
        <v>rokwzgl=16 i lp=290</v>
      </c>
      <c r="V40" s="28" t="str">
        <f t="shared" si="8"/>
        <v>rokwzgl=17 i lp=290</v>
      </c>
      <c r="W40" s="28" t="str">
        <f t="shared" si="8"/>
        <v>rokwzgl=18 i lp=290</v>
      </c>
      <c r="X40" s="28" t="str">
        <f t="shared" si="9"/>
        <v>rokwzgl=19 i lp=290</v>
      </c>
      <c r="Y40" s="28" t="str">
        <f t="shared" si="9"/>
        <v>rokwzgl=20 i lp=290</v>
      </c>
      <c r="Z40" s="28" t="str">
        <f t="shared" si="9"/>
        <v>rokwzgl=21 i lp=290</v>
      </c>
      <c r="AA40" s="28" t="str">
        <f t="shared" si="9"/>
        <v>rokwzgl=22 i lp=290</v>
      </c>
      <c r="AB40" s="28" t="str">
        <f t="shared" si="9"/>
        <v>rokwzgl=23 i lp=290</v>
      </c>
      <c r="AC40" s="28" t="str">
        <f t="shared" si="9"/>
        <v>rokwzgl=24 i lp=290</v>
      </c>
      <c r="AD40" s="28" t="str">
        <f t="shared" si="9"/>
        <v>rokwzgl=25 i lp=290</v>
      </c>
      <c r="AE40" s="28" t="str">
        <f t="shared" si="9"/>
        <v>rokwzgl=26 i lp=290</v>
      </c>
      <c r="AF40" s="28" t="str">
        <f t="shared" si="9"/>
        <v>rokwzgl=27 i lp=290</v>
      </c>
      <c r="AG40" s="28" t="str">
        <f t="shared" si="9"/>
        <v>rokwzgl=28 i lp=290</v>
      </c>
      <c r="AH40" s="28" t="str">
        <f t="shared" si="9"/>
        <v>rokwzgl=29 i lp=290</v>
      </c>
    </row>
    <row r="41" spans="1:34">
      <c r="A41" s="27">
        <v>300</v>
      </c>
      <c r="B41" s="27">
        <v>5</v>
      </c>
      <c r="C41" s="28" t="s">
        <v>76</v>
      </c>
      <c r="D41" s="28" t="str">
        <f t="shared" si="7"/>
        <v>rokwzgl=0 i lp=300</v>
      </c>
      <c r="E41" s="28" t="str">
        <f t="shared" si="7"/>
        <v>rokwzgl=0 i lp=300</v>
      </c>
      <c r="F41" s="28" t="str">
        <f t="shared" si="7"/>
        <v>rokwzgl=1 i lp=300</v>
      </c>
      <c r="G41" s="28" t="str">
        <f t="shared" si="7"/>
        <v>rokwzgl=2 i lp=300</v>
      </c>
      <c r="H41" s="28" t="str">
        <f t="shared" si="7"/>
        <v>rokwzgl=3 i lp=300</v>
      </c>
      <c r="I41" s="28" t="str">
        <f t="shared" si="7"/>
        <v>rokwzgl=4 i lp=300</v>
      </c>
      <c r="J41" s="28" t="str">
        <f t="shared" si="7"/>
        <v>rokwzgl=5 i lp=300</v>
      </c>
      <c r="K41" s="28" t="str">
        <f t="shared" si="7"/>
        <v>rokwzgl=6 i lp=300</v>
      </c>
      <c r="L41" s="28" t="str">
        <f t="shared" si="7"/>
        <v>rokwzgl=7 i lp=300</v>
      </c>
      <c r="M41" s="28" t="str">
        <f t="shared" si="7"/>
        <v>rokwzgl=8 i lp=300</v>
      </c>
      <c r="N41" s="28" t="str">
        <f t="shared" si="8"/>
        <v>rokwzgl=9 i lp=300</v>
      </c>
      <c r="O41" s="28" t="str">
        <f t="shared" si="8"/>
        <v>rokwzgl=10 i lp=300</v>
      </c>
      <c r="P41" s="28" t="str">
        <f t="shared" si="8"/>
        <v>rokwzgl=11 i lp=300</v>
      </c>
      <c r="Q41" s="28" t="str">
        <f t="shared" si="8"/>
        <v>rokwzgl=12 i lp=300</v>
      </c>
      <c r="R41" s="28" t="str">
        <f t="shared" si="8"/>
        <v>rokwzgl=13 i lp=300</v>
      </c>
      <c r="S41" s="28" t="str">
        <f t="shared" si="8"/>
        <v>rokwzgl=14 i lp=300</v>
      </c>
      <c r="T41" s="28" t="str">
        <f t="shared" si="8"/>
        <v>rokwzgl=15 i lp=300</v>
      </c>
      <c r="U41" s="28" t="str">
        <f t="shared" si="8"/>
        <v>rokwzgl=16 i lp=300</v>
      </c>
      <c r="V41" s="28" t="str">
        <f t="shared" si="8"/>
        <v>rokwzgl=17 i lp=300</v>
      </c>
      <c r="W41" s="28" t="str">
        <f t="shared" si="8"/>
        <v>rokwzgl=18 i lp=300</v>
      </c>
      <c r="X41" s="28" t="str">
        <f t="shared" si="9"/>
        <v>rokwzgl=19 i lp=300</v>
      </c>
      <c r="Y41" s="28" t="str">
        <f t="shared" si="9"/>
        <v>rokwzgl=20 i lp=300</v>
      </c>
      <c r="Z41" s="28" t="str">
        <f t="shared" si="9"/>
        <v>rokwzgl=21 i lp=300</v>
      </c>
      <c r="AA41" s="28" t="str">
        <f t="shared" si="9"/>
        <v>rokwzgl=22 i lp=300</v>
      </c>
      <c r="AB41" s="28" t="str">
        <f t="shared" si="9"/>
        <v>rokwzgl=23 i lp=300</v>
      </c>
      <c r="AC41" s="28" t="str">
        <f t="shared" si="9"/>
        <v>rokwzgl=24 i lp=300</v>
      </c>
      <c r="AD41" s="28" t="str">
        <f t="shared" si="9"/>
        <v>rokwzgl=25 i lp=300</v>
      </c>
      <c r="AE41" s="28" t="str">
        <f t="shared" si="9"/>
        <v>rokwzgl=26 i lp=300</v>
      </c>
      <c r="AF41" s="28" t="str">
        <f t="shared" si="9"/>
        <v>rokwzgl=27 i lp=300</v>
      </c>
      <c r="AG41" s="28" t="str">
        <f t="shared" si="9"/>
        <v>rokwzgl=28 i lp=300</v>
      </c>
      <c r="AH41" s="28" t="str">
        <f t="shared" si="9"/>
        <v>rokwzgl=29 i lp=300</v>
      </c>
    </row>
    <row r="42" spans="1:34">
      <c r="A42" s="27">
        <v>310</v>
      </c>
      <c r="B42" s="27" t="s">
        <v>144</v>
      </c>
      <c r="C42" s="28" t="s">
        <v>77</v>
      </c>
      <c r="D42" s="28" t="str">
        <f t="shared" si="7"/>
        <v>rokwzgl=0 i lp=310</v>
      </c>
      <c r="E42" s="28" t="str">
        <f t="shared" si="7"/>
        <v>rokwzgl=0 i lp=310</v>
      </c>
      <c r="F42" s="28" t="str">
        <f t="shared" si="7"/>
        <v>rokwzgl=1 i lp=310</v>
      </c>
      <c r="G42" s="28" t="str">
        <f t="shared" si="7"/>
        <v>rokwzgl=2 i lp=310</v>
      </c>
      <c r="H42" s="28" t="str">
        <f t="shared" si="7"/>
        <v>rokwzgl=3 i lp=310</v>
      </c>
      <c r="I42" s="28" t="str">
        <f t="shared" si="7"/>
        <v>rokwzgl=4 i lp=310</v>
      </c>
      <c r="J42" s="28" t="str">
        <f t="shared" si="7"/>
        <v>rokwzgl=5 i lp=310</v>
      </c>
      <c r="K42" s="28" t="str">
        <f t="shared" si="7"/>
        <v>rokwzgl=6 i lp=310</v>
      </c>
      <c r="L42" s="28" t="str">
        <f t="shared" si="7"/>
        <v>rokwzgl=7 i lp=310</v>
      </c>
      <c r="M42" s="28" t="str">
        <f t="shared" si="7"/>
        <v>rokwzgl=8 i lp=310</v>
      </c>
      <c r="N42" s="28" t="str">
        <f t="shared" si="8"/>
        <v>rokwzgl=9 i lp=310</v>
      </c>
      <c r="O42" s="28" t="str">
        <f t="shared" si="8"/>
        <v>rokwzgl=10 i lp=310</v>
      </c>
      <c r="P42" s="28" t="str">
        <f t="shared" si="8"/>
        <v>rokwzgl=11 i lp=310</v>
      </c>
      <c r="Q42" s="28" t="str">
        <f t="shared" si="8"/>
        <v>rokwzgl=12 i lp=310</v>
      </c>
      <c r="R42" s="28" t="str">
        <f t="shared" si="8"/>
        <v>rokwzgl=13 i lp=310</v>
      </c>
      <c r="S42" s="28" t="str">
        <f t="shared" si="8"/>
        <v>rokwzgl=14 i lp=310</v>
      </c>
      <c r="T42" s="28" t="str">
        <f t="shared" si="8"/>
        <v>rokwzgl=15 i lp=310</v>
      </c>
      <c r="U42" s="28" t="str">
        <f t="shared" si="8"/>
        <v>rokwzgl=16 i lp=310</v>
      </c>
      <c r="V42" s="28" t="str">
        <f t="shared" si="8"/>
        <v>rokwzgl=17 i lp=310</v>
      </c>
      <c r="W42" s="28" t="str">
        <f t="shared" si="8"/>
        <v>rokwzgl=18 i lp=310</v>
      </c>
      <c r="X42" s="28" t="str">
        <f t="shared" si="9"/>
        <v>rokwzgl=19 i lp=310</v>
      </c>
      <c r="Y42" s="28" t="str">
        <f t="shared" si="9"/>
        <v>rokwzgl=20 i lp=310</v>
      </c>
      <c r="Z42" s="28" t="str">
        <f t="shared" si="9"/>
        <v>rokwzgl=21 i lp=310</v>
      </c>
      <c r="AA42" s="28" t="str">
        <f t="shared" si="9"/>
        <v>rokwzgl=22 i lp=310</v>
      </c>
      <c r="AB42" s="28" t="str">
        <f t="shared" si="9"/>
        <v>rokwzgl=23 i lp=310</v>
      </c>
      <c r="AC42" s="28" t="str">
        <f t="shared" si="9"/>
        <v>rokwzgl=24 i lp=310</v>
      </c>
      <c r="AD42" s="28" t="str">
        <f t="shared" si="9"/>
        <v>rokwzgl=25 i lp=310</v>
      </c>
      <c r="AE42" s="28" t="str">
        <f t="shared" si="9"/>
        <v>rokwzgl=26 i lp=310</v>
      </c>
      <c r="AF42" s="28" t="str">
        <f t="shared" si="9"/>
        <v>rokwzgl=27 i lp=310</v>
      </c>
      <c r="AG42" s="28" t="str">
        <f t="shared" si="9"/>
        <v>rokwzgl=28 i lp=310</v>
      </c>
      <c r="AH42" s="28" t="str">
        <f t="shared" si="9"/>
        <v>rokwzgl=29 i lp=310</v>
      </c>
    </row>
    <row r="43" spans="1:34">
      <c r="A43" s="27">
        <v>320</v>
      </c>
      <c r="B43" s="27" t="s">
        <v>78</v>
      </c>
      <c r="C43" s="28" t="s">
        <v>370</v>
      </c>
      <c r="D43" s="28" t="str">
        <f t="shared" si="7"/>
        <v>rokwzgl=0 i lp=320</v>
      </c>
      <c r="E43" s="28" t="str">
        <f t="shared" si="7"/>
        <v>rokwzgl=0 i lp=320</v>
      </c>
      <c r="F43" s="28" t="str">
        <f t="shared" si="7"/>
        <v>rokwzgl=1 i lp=320</v>
      </c>
      <c r="G43" s="28" t="str">
        <f t="shared" si="7"/>
        <v>rokwzgl=2 i lp=320</v>
      </c>
      <c r="H43" s="28" t="str">
        <f t="shared" si="7"/>
        <v>rokwzgl=3 i lp=320</v>
      </c>
      <c r="I43" s="28" t="str">
        <f t="shared" si="7"/>
        <v>rokwzgl=4 i lp=320</v>
      </c>
      <c r="J43" s="28" t="str">
        <f t="shared" si="7"/>
        <v>rokwzgl=5 i lp=320</v>
      </c>
      <c r="K43" s="28" t="str">
        <f t="shared" si="7"/>
        <v>rokwzgl=6 i lp=320</v>
      </c>
      <c r="L43" s="28" t="str">
        <f t="shared" si="7"/>
        <v>rokwzgl=7 i lp=320</v>
      </c>
      <c r="M43" s="28" t="str">
        <f t="shared" si="7"/>
        <v>rokwzgl=8 i lp=320</v>
      </c>
      <c r="N43" s="28" t="str">
        <f t="shared" si="8"/>
        <v>rokwzgl=9 i lp=320</v>
      </c>
      <c r="O43" s="28" t="str">
        <f t="shared" si="8"/>
        <v>rokwzgl=10 i lp=320</v>
      </c>
      <c r="P43" s="28" t="str">
        <f t="shared" si="8"/>
        <v>rokwzgl=11 i lp=320</v>
      </c>
      <c r="Q43" s="28" t="str">
        <f t="shared" si="8"/>
        <v>rokwzgl=12 i lp=320</v>
      </c>
      <c r="R43" s="28" t="str">
        <f t="shared" si="8"/>
        <v>rokwzgl=13 i lp=320</v>
      </c>
      <c r="S43" s="28" t="str">
        <f t="shared" si="8"/>
        <v>rokwzgl=14 i lp=320</v>
      </c>
      <c r="T43" s="28" t="str">
        <f t="shared" si="8"/>
        <v>rokwzgl=15 i lp=320</v>
      </c>
      <c r="U43" s="28" t="str">
        <f t="shared" si="8"/>
        <v>rokwzgl=16 i lp=320</v>
      </c>
      <c r="V43" s="28" t="str">
        <f t="shared" si="8"/>
        <v>rokwzgl=17 i lp=320</v>
      </c>
      <c r="W43" s="28" t="str">
        <f t="shared" si="8"/>
        <v>rokwzgl=18 i lp=320</v>
      </c>
      <c r="X43" s="28" t="str">
        <f t="shared" si="9"/>
        <v>rokwzgl=19 i lp=320</v>
      </c>
      <c r="Y43" s="28" t="str">
        <f t="shared" si="9"/>
        <v>rokwzgl=20 i lp=320</v>
      </c>
      <c r="Z43" s="28" t="str">
        <f t="shared" si="9"/>
        <v>rokwzgl=21 i lp=320</v>
      </c>
      <c r="AA43" s="28" t="str">
        <f t="shared" si="9"/>
        <v>rokwzgl=22 i lp=320</v>
      </c>
      <c r="AB43" s="28" t="str">
        <f t="shared" si="9"/>
        <v>rokwzgl=23 i lp=320</v>
      </c>
      <c r="AC43" s="28" t="str">
        <f t="shared" si="9"/>
        <v>rokwzgl=24 i lp=320</v>
      </c>
      <c r="AD43" s="28" t="str">
        <f t="shared" si="9"/>
        <v>rokwzgl=25 i lp=320</v>
      </c>
      <c r="AE43" s="28" t="str">
        <f t="shared" si="9"/>
        <v>rokwzgl=26 i lp=320</v>
      </c>
      <c r="AF43" s="28" t="str">
        <f t="shared" si="9"/>
        <v>rokwzgl=27 i lp=320</v>
      </c>
      <c r="AG43" s="28" t="str">
        <f t="shared" si="9"/>
        <v>rokwzgl=28 i lp=320</v>
      </c>
      <c r="AH43" s="28" t="str">
        <f t="shared" si="9"/>
        <v>rokwzgl=29 i lp=320</v>
      </c>
    </row>
    <row r="44" spans="1:34">
      <c r="A44" s="27">
        <v>332</v>
      </c>
      <c r="B44" s="27" t="s">
        <v>79</v>
      </c>
      <c r="C44" s="28" t="s">
        <v>371</v>
      </c>
      <c r="D44" s="28" t="str">
        <f t="shared" si="7"/>
        <v>rokwzgl=0 i lp=332</v>
      </c>
      <c r="E44" s="28" t="str">
        <f t="shared" si="7"/>
        <v>rokwzgl=0 i lp=332</v>
      </c>
      <c r="F44" s="28" t="str">
        <f t="shared" si="7"/>
        <v>rokwzgl=1 i lp=332</v>
      </c>
      <c r="G44" s="28" t="str">
        <f t="shared" si="7"/>
        <v>rokwzgl=2 i lp=332</v>
      </c>
      <c r="H44" s="28" t="str">
        <f t="shared" si="7"/>
        <v>rokwzgl=3 i lp=332</v>
      </c>
      <c r="I44" s="28" t="str">
        <f t="shared" si="7"/>
        <v>rokwzgl=4 i lp=332</v>
      </c>
      <c r="J44" s="28" t="str">
        <f t="shared" si="7"/>
        <v>rokwzgl=5 i lp=332</v>
      </c>
      <c r="K44" s="28" t="str">
        <f t="shared" si="7"/>
        <v>rokwzgl=6 i lp=332</v>
      </c>
      <c r="L44" s="28" t="str">
        <f t="shared" si="7"/>
        <v>rokwzgl=7 i lp=332</v>
      </c>
      <c r="M44" s="28" t="str">
        <f t="shared" si="7"/>
        <v>rokwzgl=8 i lp=332</v>
      </c>
      <c r="N44" s="28" t="str">
        <f t="shared" si="8"/>
        <v>rokwzgl=9 i lp=332</v>
      </c>
      <c r="O44" s="28" t="str">
        <f t="shared" si="8"/>
        <v>rokwzgl=10 i lp=332</v>
      </c>
      <c r="P44" s="28" t="str">
        <f t="shared" si="8"/>
        <v>rokwzgl=11 i lp=332</v>
      </c>
      <c r="Q44" s="28" t="str">
        <f t="shared" si="8"/>
        <v>rokwzgl=12 i lp=332</v>
      </c>
      <c r="R44" s="28" t="str">
        <f t="shared" si="8"/>
        <v>rokwzgl=13 i lp=332</v>
      </c>
      <c r="S44" s="28" t="str">
        <f t="shared" si="8"/>
        <v>rokwzgl=14 i lp=332</v>
      </c>
      <c r="T44" s="28" t="str">
        <f t="shared" si="8"/>
        <v>rokwzgl=15 i lp=332</v>
      </c>
      <c r="U44" s="28" t="str">
        <f t="shared" si="8"/>
        <v>rokwzgl=16 i lp=332</v>
      </c>
      <c r="V44" s="28" t="str">
        <f t="shared" si="8"/>
        <v>rokwzgl=17 i lp=332</v>
      </c>
      <c r="W44" s="28" t="str">
        <f t="shared" si="8"/>
        <v>rokwzgl=18 i lp=332</v>
      </c>
      <c r="X44" s="28" t="str">
        <f t="shared" si="9"/>
        <v>rokwzgl=19 i lp=332</v>
      </c>
      <c r="Y44" s="28" t="str">
        <f t="shared" si="9"/>
        <v>rokwzgl=20 i lp=332</v>
      </c>
      <c r="Z44" s="28" t="str">
        <f t="shared" si="9"/>
        <v>rokwzgl=21 i lp=332</v>
      </c>
      <c r="AA44" s="28" t="str">
        <f t="shared" si="9"/>
        <v>rokwzgl=22 i lp=332</v>
      </c>
      <c r="AB44" s="28" t="str">
        <f t="shared" si="9"/>
        <v>rokwzgl=23 i lp=332</v>
      </c>
      <c r="AC44" s="28" t="str">
        <f t="shared" si="9"/>
        <v>rokwzgl=24 i lp=332</v>
      </c>
      <c r="AD44" s="28" t="str">
        <f t="shared" si="9"/>
        <v>rokwzgl=25 i lp=332</v>
      </c>
      <c r="AE44" s="28" t="str">
        <f t="shared" si="9"/>
        <v>rokwzgl=26 i lp=332</v>
      </c>
      <c r="AF44" s="28" t="str">
        <f t="shared" si="9"/>
        <v>rokwzgl=27 i lp=332</v>
      </c>
      <c r="AG44" s="28" t="str">
        <f t="shared" si="9"/>
        <v>rokwzgl=28 i lp=332</v>
      </c>
      <c r="AH44" s="28" t="str">
        <f t="shared" si="9"/>
        <v>rokwzgl=29 i lp=332</v>
      </c>
    </row>
    <row r="45" spans="1:34">
      <c r="A45" s="27">
        <v>334</v>
      </c>
      <c r="B45" s="27" t="s">
        <v>372</v>
      </c>
      <c r="C45" s="28" t="s">
        <v>373</v>
      </c>
      <c r="D45" s="28" t="str">
        <f t="shared" si="7"/>
        <v>rokwzgl=0 i lp=334</v>
      </c>
      <c r="E45" s="28" t="str">
        <f t="shared" si="7"/>
        <v>rokwzgl=0 i lp=334</v>
      </c>
      <c r="F45" s="28" t="str">
        <f t="shared" si="7"/>
        <v>rokwzgl=1 i lp=334</v>
      </c>
      <c r="G45" s="28" t="str">
        <f t="shared" si="7"/>
        <v>rokwzgl=2 i lp=334</v>
      </c>
      <c r="H45" s="28" t="str">
        <f t="shared" si="7"/>
        <v>rokwzgl=3 i lp=334</v>
      </c>
      <c r="I45" s="28" t="str">
        <f t="shared" si="7"/>
        <v>rokwzgl=4 i lp=334</v>
      </c>
      <c r="J45" s="28" t="str">
        <f t="shared" si="7"/>
        <v>rokwzgl=5 i lp=334</v>
      </c>
      <c r="K45" s="28" t="str">
        <f t="shared" si="7"/>
        <v>rokwzgl=6 i lp=334</v>
      </c>
      <c r="L45" s="28" t="str">
        <f t="shared" si="7"/>
        <v>rokwzgl=7 i lp=334</v>
      </c>
      <c r="M45" s="28" t="str">
        <f t="shared" si="7"/>
        <v>rokwzgl=8 i lp=334</v>
      </c>
      <c r="N45" s="28" t="str">
        <f t="shared" si="8"/>
        <v>rokwzgl=9 i lp=334</v>
      </c>
      <c r="O45" s="28" t="str">
        <f t="shared" si="8"/>
        <v>rokwzgl=10 i lp=334</v>
      </c>
      <c r="P45" s="28" t="str">
        <f t="shared" si="8"/>
        <v>rokwzgl=11 i lp=334</v>
      </c>
      <c r="Q45" s="28" t="str">
        <f t="shared" si="8"/>
        <v>rokwzgl=12 i lp=334</v>
      </c>
      <c r="R45" s="28" t="str">
        <f t="shared" si="8"/>
        <v>rokwzgl=13 i lp=334</v>
      </c>
      <c r="S45" s="28" t="str">
        <f t="shared" si="8"/>
        <v>rokwzgl=14 i lp=334</v>
      </c>
      <c r="T45" s="28" t="str">
        <f t="shared" si="8"/>
        <v>rokwzgl=15 i lp=334</v>
      </c>
      <c r="U45" s="28" t="str">
        <f t="shared" si="8"/>
        <v>rokwzgl=16 i lp=334</v>
      </c>
      <c r="V45" s="28" t="str">
        <f t="shared" si="8"/>
        <v>rokwzgl=17 i lp=334</v>
      </c>
      <c r="W45" s="28" t="str">
        <f t="shared" si="8"/>
        <v>rokwzgl=18 i lp=334</v>
      </c>
      <c r="X45" s="28" t="str">
        <f t="shared" si="9"/>
        <v>rokwzgl=19 i lp=334</v>
      </c>
      <c r="Y45" s="28" t="str">
        <f t="shared" si="9"/>
        <v>rokwzgl=20 i lp=334</v>
      </c>
      <c r="Z45" s="28" t="str">
        <f t="shared" si="9"/>
        <v>rokwzgl=21 i lp=334</v>
      </c>
      <c r="AA45" s="28" t="str">
        <f t="shared" si="9"/>
        <v>rokwzgl=22 i lp=334</v>
      </c>
      <c r="AB45" s="28" t="str">
        <f t="shared" si="9"/>
        <v>rokwzgl=23 i lp=334</v>
      </c>
      <c r="AC45" s="28" t="str">
        <f t="shared" si="9"/>
        <v>rokwzgl=24 i lp=334</v>
      </c>
      <c r="AD45" s="28" t="str">
        <f t="shared" si="9"/>
        <v>rokwzgl=25 i lp=334</v>
      </c>
      <c r="AE45" s="28" t="str">
        <f t="shared" si="9"/>
        <v>rokwzgl=26 i lp=334</v>
      </c>
      <c r="AF45" s="28" t="str">
        <f t="shared" si="9"/>
        <v>rokwzgl=27 i lp=334</v>
      </c>
      <c r="AG45" s="28" t="str">
        <f t="shared" si="9"/>
        <v>rokwzgl=28 i lp=334</v>
      </c>
      <c r="AH45" s="28" t="str">
        <f t="shared" si="9"/>
        <v>rokwzgl=29 i lp=334</v>
      </c>
    </row>
    <row r="46" spans="1:34">
      <c r="A46" s="27">
        <v>336</v>
      </c>
      <c r="B46" s="27" t="s">
        <v>374</v>
      </c>
      <c r="C46" s="28" t="s">
        <v>375</v>
      </c>
      <c r="D46" s="28" t="str">
        <f t="shared" ref="D46:M55" si="10">+"rokwzgl="&amp;D$9&amp;" i lp="&amp;$A46</f>
        <v>rokwzgl=0 i lp=336</v>
      </c>
      <c r="E46" s="28" t="str">
        <f t="shared" si="10"/>
        <v>rokwzgl=0 i lp=336</v>
      </c>
      <c r="F46" s="28" t="str">
        <f t="shared" si="10"/>
        <v>rokwzgl=1 i lp=336</v>
      </c>
      <c r="G46" s="28" t="str">
        <f t="shared" si="10"/>
        <v>rokwzgl=2 i lp=336</v>
      </c>
      <c r="H46" s="28" t="str">
        <f t="shared" si="10"/>
        <v>rokwzgl=3 i lp=336</v>
      </c>
      <c r="I46" s="28" t="str">
        <f t="shared" si="10"/>
        <v>rokwzgl=4 i lp=336</v>
      </c>
      <c r="J46" s="28" t="str">
        <f t="shared" si="10"/>
        <v>rokwzgl=5 i lp=336</v>
      </c>
      <c r="K46" s="28" t="str">
        <f t="shared" si="10"/>
        <v>rokwzgl=6 i lp=336</v>
      </c>
      <c r="L46" s="28" t="str">
        <f t="shared" si="10"/>
        <v>rokwzgl=7 i lp=336</v>
      </c>
      <c r="M46" s="28" t="str">
        <f t="shared" si="10"/>
        <v>rokwzgl=8 i lp=336</v>
      </c>
      <c r="N46" s="28" t="str">
        <f t="shared" ref="N46:W55" si="11">+"rokwzgl="&amp;N$9&amp;" i lp="&amp;$A46</f>
        <v>rokwzgl=9 i lp=336</v>
      </c>
      <c r="O46" s="28" t="str">
        <f t="shared" si="11"/>
        <v>rokwzgl=10 i lp=336</v>
      </c>
      <c r="P46" s="28" t="str">
        <f t="shared" si="11"/>
        <v>rokwzgl=11 i lp=336</v>
      </c>
      <c r="Q46" s="28" t="str">
        <f t="shared" si="11"/>
        <v>rokwzgl=12 i lp=336</v>
      </c>
      <c r="R46" s="28" t="str">
        <f t="shared" si="11"/>
        <v>rokwzgl=13 i lp=336</v>
      </c>
      <c r="S46" s="28" t="str">
        <f t="shared" si="11"/>
        <v>rokwzgl=14 i lp=336</v>
      </c>
      <c r="T46" s="28" t="str">
        <f t="shared" si="11"/>
        <v>rokwzgl=15 i lp=336</v>
      </c>
      <c r="U46" s="28" t="str">
        <f t="shared" si="11"/>
        <v>rokwzgl=16 i lp=336</v>
      </c>
      <c r="V46" s="28" t="str">
        <f t="shared" si="11"/>
        <v>rokwzgl=17 i lp=336</v>
      </c>
      <c r="W46" s="28" t="str">
        <f t="shared" si="11"/>
        <v>rokwzgl=18 i lp=336</v>
      </c>
      <c r="X46" s="28" t="str">
        <f t="shared" ref="X46:AH55" si="12">+"rokwzgl="&amp;X$9&amp;" i lp="&amp;$A46</f>
        <v>rokwzgl=19 i lp=336</v>
      </c>
      <c r="Y46" s="28" t="str">
        <f t="shared" si="12"/>
        <v>rokwzgl=20 i lp=336</v>
      </c>
      <c r="Z46" s="28" t="str">
        <f t="shared" si="12"/>
        <v>rokwzgl=21 i lp=336</v>
      </c>
      <c r="AA46" s="28" t="str">
        <f t="shared" si="12"/>
        <v>rokwzgl=22 i lp=336</v>
      </c>
      <c r="AB46" s="28" t="str">
        <f t="shared" si="12"/>
        <v>rokwzgl=23 i lp=336</v>
      </c>
      <c r="AC46" s="28" t="str">
        <f t="shared" si="12"/>
        <v>rokwzgl=24 i lp=336</v>
      </c>
      <c r="AD46" s="28" t="str">
        <f t="shared" si="12"/>
        <v>rokwzgl=25 i lp=336</v>
      </c>
      <c r="AE46" s="28" t="str">
        <f t="shared" si="12"/>
        <v>rokwzgl=26 i lp=336</v>
      </c>
      <c r="AF46" s="28" t="str">
        <f t="shared" si="12"/>
        <v>rokwzgl=27 i lp=336</v>
      </c>
      <c r="AG46" s="28" t="str">
        <f t="shared" si="12"/>
        <v>rokwzgl=28 i lp=336</v>
      </c>
      <c r="AH46" s="28" t="str">
        <f t="shared" si="12"/>
        <v>rokwzgl=29 i lp=336</v>
      </c>
    </row>
    <row r="47" spans="1:34">
      <c r="A47" s="27">
        <v>340</v>
      </c>
      <c r="B47" s="27" t="s">
        <v>145</v>
      </c>
      <c r="C47" s="28" t="s">
        <v>80</v>
      </c>
      <c r="D47" s="28" t="str">
        <f t="shared" si="10"/>
        <v>rokwzgl=0 i lp=340</v>
      </c>
      <c r="E47" s="28" t="str">
        <f t="shared" si="10"/>
        <v>rokwzgl=0 i lp=340</v>
      </c>
      <c r="F47" s="28" t="str">
        <f t="shared" si="10"/>
        <v>rokwzgl=1 i lp=340</v>
      </c>
      <c r="G47" s="28" t="str">
        <f t="shared" si="10"/>
        <v>rokwzgl=2 i lp=340</v>
      </c>
      <c r="H47" s="28" t="str">
        <f t="shared" si="10"/>
        <v>rokwzgl=3 i lp=340</v>
      </c>
      <c r="I47" s="28" t="str">
        <f t="shared" si="10"/>
        <v>rokwzgl=4 i lp=340</v>
      </c>
      <c r="J47" s="28" t="str">
        <f t="shared" si="10"/>
        <v>rokwzgl=5 i lp=340</v>
      </c>
      <c r="K47" s="28" t="str">
        <f t="shared" si="10"/>
        <v>rokwzgl=6 i lp=340</v>
      </c>
      <c r="L47" s="28" t="str">
        <f t="shared" si="10"/>
        <v>rokwzgl=7 i lp=340</v>
      </c>
      <c r="M47" s="28" t="str">
        <f t="shared" si="10"/>
        <v>rokwzgl=8 i lp=340</v>
      </c>
      <c r="N47" s="28" t="str">
        <f t="shared" si="11"/>
        <v>rokwzgl=9 i lp=340</v>
      </c>
      <c r="O47" s="28" t="str">
        <f t="shared" si="11"/>
        <v>rokwzgl=10 i lp=340</v>
      </c>
      <c r="P47" s="28" t="str">
        <f t="shared" si="11"/>
        <v>rokwzgl=11 i lp=340</v>
      </c>
      <c r="Q47" s="28" t="str">
        <f t="shared" si="11"/>
        <v>rokwzgl=12 i lp=340</v>
      </c>
      <c r="R47" s="28" t="str">
        <f t="shared" si="11"/>
        <v>rokwzgl=13 i lp=340</v>
      </c>
      <c r="S47" s="28" t="str">
        <f t="shared" si="11"/>
        <v>rokwzgl=14 i lp=340</v>
      </c>
      <c r="T47" s="28" t="str">
        <f t="shared" si="11"/>
        <v>rokwzgl=15 i lp=340</v>
      </c>
      <c r="U47" s="28" t="str">
        <f t="shared" si="11"/>
        <v>rokwzgl=16 i lp=340</v>
      </c>
      <c r="V47" s="28" t="str">
        <f t="shared" si="11"/>
        <v>rokwzgl=17 i lp=340</v>
      </c>
      <c r="W47" s="28" t="str">
        <f t="shared" si="11"/>
        <v>rokwzgl=18 i lp=340</v>
      </c>
      <c r="X47" s="28" t="str">
        <f t="shared" si="12"/>
        <v>rokwzgl=19 i lp=340</v>
      </c>
      <c r="Y47" s="28" t="str">
        <f t="shared" si="12"/>
        <v>rokwzgl=20 i lp=340</v>
      </c>
      <c r="Z47" s="28" t="str">
        <f t="shared" si="12"/>
        <v>rokwzgl=21 i lp=340</v>
      </c>
      <c r="AA47" s="28" t="str">
        <f t="shared" si="12"/>
        <v>rokwzgl=22 i lp=340</v>
      </c>
      <c r="AB47" s="28" t="str">
        <f t="shared" si="12"/>
        <v>rokwzgl=23 i lp=340</v>
      </c>
      <c r="AC47" s="28" t="str">
        <f t="shared" si="12"/>
        <v>rokwzgl=24 i lp=340</v>
      </c>
      <c r="AD47" s="28" t="str">
        <f t="shared" si="12"/>
        <v>rokwzgl=25 i lp=340</v>
      </c>
      <c r="AE47" s="28" t="str">
        <f t="shared" si="12"/>
        <v>rokwzgl=26 i lp=340</v>
      </c>
      <c r="AF47" s="28" t="str">
        <f t="shared" si="12"/>
        <v>rokwzgl=27 i lp=340</v>
      </c>
      <c r="AG47" s="28" t="str">
        <f t="shared" si="12"/>
        <v>rokwzgl=28 i lp=340</v>
      </c>
      <c r="AH47" s="28" t="str">
        <f t="shared" si="12"/>
        <v>rokwzgl=29 i lp=340</v>
      </c>
    </row>
    <row r="48" spans="1:34">
      <c r="A48" s="27">
        <v>350</v>
      </c>
      <c r="B48" s="27">
        <v>6</v>
      </c>
      <c r="C48" s="28" t="s">
        <v>25</v>
      </c>
      <c r="D48" s="28" t="str">
        <f t="shared" si="10"/>
        <v>rokwzgl=0 i lp=350</v>
      </c>
      <c r="E48" s="28" t="str">
        <f t="shared" si="10"/>
        <v>rokwzgl=0 i lp=350</v>
      </c>
      <c r="F48" s="28" t="str">
        <f t="shared" si="10"/>
        <v>rokwzgl=1 i lp=350</v>
      </c>
      <c r="G48" s="28" t="str">
        <f t="shared" si="10"/>
        <v>rokwzgl=2 i lp=350</v>
      </c>
      <c r="H48" s="28" t="str">
        <f t="shared" si="10"/>
        <v>rokwzgl=3 i lp=350</v>
      </c>
      <c r="I48" s="28" t="str">
        <f t="shared" si="10"/>
        <v>rokwzgl=4 i lp=350</v>
      </c>
      <c r="J48" s="28" t="str">
        <f t="shared" si="10"/>
        <v>rokwzgl=5 i lp=350</v>
      </c>
      <c r="K48" s="28" t="str">
        <f t="shared" si="10"/>
        <v>rokwzgl=6 i lp=350</v>
      </c>
      <c r="L48" s="28" t="str">
        <f t="shared" si="10"/>
        <v>rokwzgl=7 i lp=350</v>
      </c>
      <c r="M48" s="28" t="str">
        <f t="shared" si="10"/>
        <v>rokwzgl=8 i lp=350</v>
      </c>
      <c r="N48" s="28" t="str">
        <f t="shared" si="11"/>
        <v>rokwzgl=9 i lp=350</v>
      </c>
      <c r="O48" s="28" t="str">
        <f t="shared" si="11"/>
        <v>rokwzgl=10 i lp=350</v>
      </c>
      <c r="P48" s="28" t="str">
        <f t="shared" si="11"/>
        <v>rokwzgl=11 i lp=350</v>
      </c>
      <c r="Q48" s="28" t="str">
        <f t="shared" si="11"/>
        <v>rokwzgl=12 i lp=350</v>
      </c>
      <c r="R48" s="28" t="str">
        <f t="shared" si="11"/>
        <v>rokwzgl=13 i lp=350</v>
      </c>
      <c r="S48" s="28" t="str">
        <f t="shared" si="11"/>
        <v>rokwzgl=14 i lp=350</v>
      </c>
      <c r="T48" s="28" t="str">
        <f t="shared" si="11"/>
        <v>rokwzgl=15 i lp=350</v>
      </c>
      <c r="U48" s="28" t="str">
        <f t="shared" si="11"/>
        <v>rokwzgl=16 i lp=350</v>
      </c>
      <c r="V48" s="28" t="str">
        <f t="shared" si="11"/>
        <v>rokwzgl=17 i lp=350</v>
      </c>
      <c r="W48" s="28" t="str">
        <f t="shared" si="11"/>
        <v>rokwzgl=18 i lp=350</v>
      </c>
      <c r="X48" s="28" t="str">
        <f t="shared" si="12"/>
        <v>rokwzgl=19 i lp=350</v>
      </c>
      <c r="Y48" s="28" t="str">
        <f t="shared" si="12"/>
        <v>rokwzgl=20 i lp=350</v>
      </c>
      <c r="Z48" s="28" t="str">
        <f t="shared" si="12"/>
        <v>rokwzgl=21 i lp=350</v>
      </c>
      <c r="AA48" s="28" t="str">
        <f t="shared" si="12"/>
        <v>rokwzgl=22 i lp=350</v>
      </c>
      <c r="AB48" s="28" t="str">
        <f t="shared" si="12"/>
        <v>rokwzgl=23 i lp=350</v>
      </c>
      <c r="AC48" s="28" t="str">
        <f t="shared" si="12"/>
        <v>rokwzgl=24 i lp=350</v>
      </c>
      <c r="AD48" s="28" t="str">
        <f t="shared" si="12"/>
        <v>rokwzgl=25 i lp=350</v>
      </c>
      <c r="AE48" s="28" t="str">
        <f t="shared" si="12"/>
        <v>rokwzgl=26 i lp=350</v>
      </c>
      <c r="AF48" s="28" t="str">
        <f t="shared" si="12"/>
        <v>rokwzgl=27 i lp=350</v>
      </c>
      <c r="AG48" s="28" t="str">
        <f t="shared" si="12"/>
        <v>rokwzgl=28 i lp=350</v>
      </c>
      <c r="AH48" s="28" t="str">
        <f t="shared" si="12"/>
        <v>rokwzgl=29 i lp=350</v>
      </c>
    </row>
    <row r="49" spans="1:34">
      <c r="A49" s="27">
        <v>400</v>
      </c>
      <c r="B49" s="27">
        <v>7</v>
      </c>
      <c r="C49" s="28" t="s">
        <v>81</v>
      </c>
      <c r="D49" s="28" t="str">
        <f t="shared" si="10"/>
        <v>rokwzgl=0 i lp=400</v>
      </c>
      <c r="E49" s="28" t="str">
        <f t="shared" si="10"/>
        <v>rokwzgl=0 i lp=400</v>
      </c>
      <c r="F49" s="28" t="str">
        <f t="shared" si="10"/>
        <v>rokwzgl=1 i lp=400</v>
      </c>
      <c r="G49" s="28" t="str">
        <f t="shared" si="10"/>
        <v>rokwzgl=2 i lp=400</v>
      </c>
      <c r="H49" s="28" t="str">
        <f t="shared" si="10"/>
        <v>rokwzgl=3 i lp=400</v>
      </c>
      <c r="I49" s="28" t="str">
        <f t="shared" si="10"/>
        <v>rokwzgl=4 i lp=400</v>
      </c>
      <c r="J49" s="28" t="str">
        <f t="shared" si="10"/>
        <v>rokwzgl=5 i lp=400</v>
      </c>
      <c r="K49" s="28" t="str">
        <f t="shared" si="10"/>
        <v>rokwzgl=6 i lp=400</v>
      </c>
      <c r="L49" s="28" t="str">
        <f t="shared" si="10"/>
        <v>rokwzgl=7 i lp=400</v>
      </c>
      <c r="M49" s="28" t="str">
        <f t="shared" si="10"/>
        <v>rokwzgl=8 i lp=400</v>
      </c>
      <c r="N49" s="28" t="str">
        <f t="shared" si="11"/>
        <v>rokwzgl=9 i lp=400</v>
      </c>
      <c r="O49" s="28" t="str">
        <f t="shared" si="11"/>
        <v>rokwzgl=10 i lp=400</v>
      </c>
      <c r="P49" s="28" t="str">
        <f t="shared" si="11"/>
        <v>rokwzgl=11 i lp=400</v>
      </c>
      <c r="Q49" s="28" t="str">
        <f t="shared" si="11"/>
        <v>rokwzgl=12 i lp=400</v>
      </c>
      <c r="R49" s="28" t="str">
        <f t="shared" si="11"/>
        <v>rokwzgl=13 i lp=400</v>
      </c>
      <c r="S49" s="28" t="str">
        <f t="shared" si="11"/>
        <v>rokwzgl=14 i lp=400</v>
      </c>
      <c r="T49" s="28" t="str">
        <f t="shared" si="11"/>
        <v>rokwzgl=15 i lp=400</v>
      </c>
      <c r="U49" s="28" t="str">
        <f t="shared" si="11"/>
        <v>rokwzgl=16 i lp=400</v>
      </c>
      <c r="V49" s="28" t="str">
        <f t="shared" si="11"/>
        <v>rokwzgl=17 i lp=400</v>
      </c>
      <c r="W49" s="28" t="str">
        <f t="shared" si="11"/>
        <v>rokwzgl=18 i lp=400</v>
      </c>
      <c r="X49" s="28" t="str">
        <f t="shared" si="12"/>
        <v>rokwzgl=19 i lp=400</v>
      </c>
      <c r="Y49" s="28" t="str">
        <f t="shared" si="12"/>
        <v>rokwzgl=20 i lp=400</v>
      </c>
      <c r="Z49" s="28" t="str">
        <f t="shared" si="12"/>
        <v>rokwzgl=21 i lp=400</v>
      </c>
      <c r="AA49" s="28" t="str">
        <f t="shared" si="12"/>
        <v>rokwzgl=22 i lp=400</v>
      </c>
      <c r="AB49" s="28" t="str">
        <f t="shared" si="12"/>
        <v>rokwzgl=23 i lp=400</v>
      </c>
      <c r="AC49" s="28" t="str">
        <f t="shared" si="12"/>
        <v>rokwzgl=24 i lp=400</v>
      </c>
      <c r="AD49" s="28" t="str">
        <f t="shared" si="12"/>
        <v>rokwzgl=25 i lp=400</v>
      </c>
      <c r="AE49" s="28" t="str">
        <f t="shared" si="12"/>
        <v>rokwzgl=26 i lp=400</v>
      </c>
      <c r="AF49" s="28" t="str">
        <f t="shared" si="12"/>
        <v>rokwzgl=27 i lp=400</v>
      </c>
      <c r="AG49" s="28" t="str">
        <f t="shared" si="12"/>
        <v>rokwzgl=28 i lp=400</v>
      </c>
      <c r="AH49" s="28" t="str">
        <f t="shared" si="12"/>
        <v>rokwzgl=29 i lp=400</v>
      </c>
    </row>
    <row r="50" spans="1:34">
      <c r="A50" s="27">
        <v>410</v>
      </c>
      <c r="B50" s="27">
        <v>8</v>
      </c>
      <c r="C50" s="28" t="s">
        <v>146</v>
      </c>
      <c r="D50" s="28" t="str">
        <f t="shared" si="10"/>
        <v>rokwzgl=0 i lp=410</v>
      </c>
      <c r="E50" s="28" t="str">
        <f t="shared" si="10"/>
        <v>rokwzgl=0 i lp=410</v>
      </c>
      <c r="F50" s="28" t="str">
        <f t="shared" si="10"/>
        <v>rokwzgl=1 i lp=410</v>
      </c>
      <c r="G50" s="28" t="str">
        <f t="shared" si="10"/>
        <v>rokwzgl=2 i lp=410</v>
      </c>
      <c r="H50" s="28" t="str">
        <f t="shared" si="10"/>
        <v>rokwzgl=3 i lp=410</v>
      </c>
      <c r="I50" s="28" t="str">
        <f t="shared" si="10"/>
        <v>rokwzgl=4 i lp=410</v>
      </c>
      <c r="J50" s="28" t="str">
        <f t="shared" si="10"/>
        <v>rokwzgl=5 i lp=410</v>
      </c>
      <c r="K50" s="28" t="str">
        <f t="shared" si="10"/>
        <v>rokwzgl=6 i lp=410</v>
      </c>
      <c r="L50" s="28" t="str">
        <f t="shared" si="10"/>
        <v>rokwzgl=7 i lp=410</v>
      </c>
      <c r="M50" s="28" t="str">
        <f t="shared" si="10"/>
        <v>rokwzgl=8 i lp=410</v>
      </c>
      <c r="N50" s="28" t="str">
        <f t="shared" si="11"/>
        <v>rokwzgl=9 i lp=410</v>
      </c>
      <c r="O50" s="28" t="str">
        <f t="shared" si="11"/>
        <v>rokwzgl=10 i lp=410</v>
      </c>
      <c r="P50" s="28" t="str">
        <f t="shared" si="11"/>
        <v>rokwzgl=11 i lp=410</v>
      </c>
      <c r="Q50" s="28" t="str">
        <f t="shared" si="11"/>
        <v>rokwzgl=12 i lp=410</v>
      </c>
      <c r="R50" s="28" t="str">
        <f t="shared" si="11"/>
        <v>rokwzgl=13 i lp=410</v>
      </c>
      <c r="S50" s="28" t="str">
        <f t="shared" si="11"/>
        <v>rokwzgl=14 i lp=410</v>
      </c>
      <c r="T50" s="28" t="str">
        <f t="shared" si="11"/>
        <v>rokwzgl=15 i lp=410</v>
      </c>
      <c r="U50" s="28" t="str">
        <f t="shared" si="11"/>
        <v>rokwzgl=16 i lp=410</v>
      </c>
      <c r="V50" s="28" t="str">
        <f t="shared" si="11"/>
        <v>rokwzgl=17 i lp=410</v>
      </c>
      <c r="W50" s="28" t="str">
        <f t="shared" si="11"/>
        <v>rokwzgl=18 i lp=410</v>
      </c>
      <c r="X50" s="28" t="str">
        <f t="shared" si="12"/>
        <v>rokwzgl=19 i lp=410</v>
      </c>
      <c r="Y50" s="28" t="str">
        <f t="shared" si="12"/>
        <v>rokwzgl=20 i lp=410</v>
      </c>
      <c r="Z50" s="28" t="str">
        <f t="shared" si="12"/>
        <v>rokwzgl=21 i lp=410</v>
      </c>
      <c r="AA50" s="28" t="str">
        <f t="shared" si="12"/>
        <v>rokwzgl=22 i lp=410</v>
      </c>
      <c r="AB50" s="28" t="str">
        <f t="shared" si="12"/>
        <v>rokwzgl=23 i lp=410</v>
      </c>
      <c r="AC50" s="28" t="str">
        <f t="shared" si="12"/>
        <v>rokwzgl=24 i lp=410</v>
      </c>
      <c r="AD50" s="28" t="str">
        <f t="shared" si="12"/>
        <v>rokwzgl=25 i lp=410</v>
      </c>
      <c r="AE50" s="28" t="str">
        <f t="shared" si="12"/>
        <v>rokwzgl=26 i lp=410</v>
      </c>
      <c r="AF50" s="28" t="str">
        <f t="shared" si="12"/>
        <v>rokwzgl=27 i lp=410</v>
      </c>
      <c r="AG50" s="28" t="str">
        <f t="shared" si="12"/>
        <v>rokwzgl=28 i lp=410</v>
      </c>
      <c r="AH50" s="28" t="str">
        <f t="shared" si="12"/>
        <v>rokwzgl=29 i lp=410</v>
      </c>
    </row>
    <row r="51" spans="1:34">
      <c r="A51" s="27">
        <v>420</v>
      </c>
      <c r="B51" s="27" t="s">
        <v>147</v>
      </c>
      <c r="C51" s="28" t="s">
        <v>82</v>
      </c>
      <c r="D51" s="28" t="str">
        <f t="shared" si="10"/>
        <v>rokwzgl=0 i lp=420</v>
      </c>
      <c r="E51" s="28" t="str">
        <f t="shared" si="10"/>
        <v>rokwzgl=0 i lp=420</v>
      </c>
      <c r="F51" s="28" t="str">
        <f t="shared" si="10"/>
        <v>rokwzgl=1 i lp=420</v>
      </c>
      <c r="G51" s="28" t="str">
        <f t="shared" si="10"/>
        <v>rokwzgl=2 i lp=420</v>
      </c>
      <c r="H51" s="28" t="str">
        <f t="shared" si="10"/>
        <v>rokwzgl=3 i lp=420</v>
      </c>
      <c r="I51" s="28" t="str">
        <f t="shared" si="10"/>
        <v>rokwzgl=4 i lp=420</v>
      </c>
      <c r="J51" s="28" t="str">
        <f t="shared" si="10"/>
        <v>rokwzgl=5 i lp=420</v>
      </c>
      <c r="K51" s="28" t="str">
        <f t="shared" si="10"/>
        <v>rokwzgl=6 i lp=420</v>
      </c>
      <c r="L51" s="28" t="str">
        <f t="shared" si="10"/>
        <v>rokwzgl=7 i lp=420</v>
      </c>
      <c r="M51" s="28" t="str">
        <f t="shared" si="10"/>
        <v>rokwzgl=8 i lp=420</v>
      </c>
      <c r="N51" s="28" t="str">
        <f t="shared" si="11"/>
        <v>rokwzgl=9 i lp=420</v>
      </c>
      <c r="O51" s="28" t="str">
        <f t="shared" si="11"/>
        <v>rokwzgl=10 i lp=420</v>
      </c>
      <c r="P51" s="28" t="str">
        <f t="shared" si="11"/>
        <v>rokwzgl=11 i lp=420</v>
      </c>
      <c r="Q51" s="28" t="str">
        <f t="shared" si="11"/>
        <v>rokwzgl=12 i lp=420</v>
      </c>
      <c r="R51" s="28" t="str">
        <f t="shared" si="11"/>
        <v>rokwzgl=13 i lp=420</v>
      </c>
      <c r="S51" s="28" t="str">
        <f t="shared" si="11"/>
        <v>rokwzgl=14 i lp=420</v>
      </c>
      <c r="T51" s="28" t="str">
        <f t="shared" si="11"/>
        <v>rokwzgl=15 i lp=420</v>
      </c>
      <c r="U51" s="28" t="str">
        <f t="shared" si="11"/>
        <v>rokwzgl=16 i lp=420</v>
      </c>
      <c r="V51" s="28" t="str">
        <f t="shared" si="11"/>
        <v>rokwzgl=17 i lp=420</v>
      </c>
      <c r="W51" s="28" t="str">
        <f t="shared" si="11"/>
        <v>rokwzgl=18 i lp=420</v>
      </c>
      <c r="X51" s="28" t="str">
        <f t="shared" si="12"/>
        <v>rokwzgl=19 i lp=420</v>
      </c>
      <c r="Y51" s="28" t="str">
        <f t="shared" si="12"/>
        <v>rokwzgl=20 i lp=420</v>
      </c>
      <c r="Z51" s="28" t="str">
        <f t="shared" si="12"/>
        <v>rokwzgl=21 i lp=420</v>
      </c>
      <c r="AA51" s="28" t="str">
        <f t="shared" si="12"/>
        <v>rokwzgl=22 i lp=420</v>
      </c>
      <c r="AB51" s="28" t="str">
        <f t="shared" si="12"/>
        <v>rokwzgl=23 i lp=420</v>
      </c>
      <c r="AC51" s="28" t="str">
        <f t="shared" si="12"/>
        <v>rokwzgl=24 i lp=420</v>
      </c>
      <c r="AD51" s="28" t="str">
        <f t="shared" si="12"/>
        <v>rokwzgl=25 i lp=420</v>
      </c>
      <c r="AE51" s="28" t="str">
        <f t="shared" si="12"/>
        <v>rokwzgl=26 i lp=420</v>
      </c>
      <c r="AF51" s="28" t="str">
        <f t="shared" si="12"/>
        <v>rokwzgl=27 i lp=420</v>
      </c>
      <c r="AG51" s="28" t="str">
        <f t="shared" si="12"/>
        <v>rokwzgl=28 i lp=420</v>
      </c>
      <c r="AH51" s="28" t="str">
        <f t="shared" si="12"/>
        <v>rokwzgl=29 i lp=420</v>
      </c>
    </row>
    <row r="52" spans="1:34">
      <c r="A52" s="27">
        <v>430</v>
      </c>
      <c r="B52" s="27" t="s">
        <v>148</v>
      </c>
      <c r="C52" s="28" t="s">
        <v>378</v>
      </c>
      <c r="D52" s="28" t="str">
        <f t="shared" si="10"/>
        <v>rokwzgl=0 i lp=430</v>
      </c>
      <c r="E52" s="28" t="str">
        <f t="shared" si="10"/>
        <v>rokwzgl=0 i lp=430</v>
      </c>
      <c r="F52" s="28" t="str">
        <f t="shared" si="10"/>
        <v>rokwzgl=1 i lp=430</v>
      </c>
      <c r="G52" s="28" t="str">
        <f t="shared" si="10"/>
        <v>rokwzgl=2 i lp=430</v>
      </c>
      <c r="H52" s="28" t="str">
        <f t="shared" si="10"/>
        <v>rokwzgl=3 i lp=430</v>
      </c>
      <c r="I52" s="28" t="str">
        <f t="shared" si="10"/>
        <v>rokwzgl=4 i lp=430</v>
      </c>
      <c r="J52" s="28" t="str">
        <f t="shared" si="10"/>
        <v>rokwzgl=5 i lp=430</v>
      </c>
      <c r="K52" s="28" t="str">
        <f t="shared" si="10"/>
        <v>rokwzgl=6 i lp=430</v>
      </c>
      <c r="L52" s="28" t="str">
        <f t="shared" si="10"/>
        <v>rokwzgl=7 i lp=430</v>
      </c>
      <c r="M52" s="28" t="str">
        <f t="shared" si="10"/>
        <v>rokwzgl=8 i lp=430</v>
      </c>
      <c r="N52" s="28" t="str">
        <f t="shared" si="11"/>
        <v>rokwzgl=9 i lp=430</v>
      </c>
      <c r="O52" s="28" t="str">
        <f t="shared" si="11"/>
        <v>rokwzgl=10 i lp=430</v>
      </c>
      <c r="P52" s="28" t="str">
        <f t="shared" si="11"/>
        <v>rokwzgl=11 i lp=430</v>
      </c>
      <c r="Q52" s="28" t="str">
        <f t="shared" si="11"/>
        <v>rokwzgl=12 i lp=430</v>
      </c>
      <c r="R52" s="28" t="str">
        <f t="shared" si="11"/>
        <v>rokwzgl=13 i lp=430</v>
      </c>
      <c r="S52" s="28" t="str">
        <f t="shared" si="11"/>
        <v>rokwzgl=14 i lp=430</v>
      </c>
      <c r="T52" s="28" t="str">
        <f t="shared" si="11"/>
        <v>rokwzgl=15 i lp=430</v>
      </c>
      <c r="U52" s="28" t="str">
        <f t="shared" si="11"/>
        <v>rokwzgl=16 i lp=430</v>
      </c>
      <c r="V52" s="28" t="str">
        <f t="shared" si="11"/>
        <v>rokwzgl=17 i lp=430</v>
      </c>
      <c r="W52" s="28" t="str">
        <f t="shared" si="11"/>
        <v>rokwzgl=18 i lp=430</v>
      </c>
      <c r="X52" s="28" t="str">
        <f t="shared" si="12"/>
        <v>rokwzgl=19 i lp=430</v>
      </c>
      <c r="Y52" s="28" t="str">
        <f t="shared" si="12"/>
        <v>rokwzgl=20 i lp=430</v>
      </c>
      <c r="Z52" s="28" t="str">
        <f t="shared" si="12"/>
        <v>rokwzgl=21 i lp=430</v>
      </c>
      <c r="AA52" s="28" t="str">
        <f t="shared" si="12"/>
        <v>rokwzgl=22 i lp=430</v>
      </c>
      <c r="AB52" s="28" t="str">
        <f t="shared" si="12"/>
        <v>rokwzgl=23 i lp=430</v>
      </c>
      <c r="AC52" s="28" t="str">
        <f t="shared" si="12"/>
        <v>rokwzgl=24 i lp=430</v>
      </c>
      <c r="AD52" s="28" t="str">
        <f t="shared" si="12"/>
        <v>rokwzgl=25 i lp=430</v>
      </c>
      <c r="AE52" s="28" t="str">
        <f t="shared" si="12"/>
        <v>rokwzgl=26 i lp=430</v>
      </c>
      <c r="AF52" s="28" t="str">
        <f t="shared" si="12"/>
        <v>rokwzgl=27 i lp=430</v>
      </c>
      <c r="AG52" s="28" t="str">
        <f t="shared" si="12"/>
        <v>rokwzgl=28 i lp=430</v>
      </c>
      <c r="AH52" s="28" t="str">
        <f t="shared" si="12"/>
        <v>rokwzgl=29 i lp=430</v>
      </c>
    </row>
    <row r="53" spans="1:34">
      <c r="A53" s="27">
        <v>440</v>
      </c>
      <c r="B53" s="27">
        <v>9</v>
      </c>
      <c r="C53" s="28" t="s">
        <v>149</v>
      </c>
      <c r="D53" s="28" t="str">
        <f t="shared" si="10"/>
        <v>rokwzgl=0 i lp=440</v>
      </c>
      <c r="E53" s="28" t="str">
        <f t="shared" si="10"/>
        <v>rokwzgl=0 i lp=440</v>
      </c>
      <c r="F53" s="28" t="str">
        <f t="shared" si="10"/>
        <v>rokwzgl=1 i lp=440</v>
      </c>
      <c r="G53" s="28" t="str">
        <f t="shared" si="10"/>
        <v>rokwzgl=2 i lp=440</v>
      </c>
      <c r="H53" s="28" t="str">
        <f t="shared" si="10"/>
        <v>rokwzgl=3 i lp=440</v>
      </c>
      <c r="I53" s="28" t="str">
        <f t="shared" si="10"/>
        <v>rokwzgl=4 i lp=440</v>
      </c>
      <c r="J53" s="28" t="str">
        <f t="shared" si="10"/>
        <v>rokwzgl=5 i lp=440</v>
      </c>
      <c r="K53" s="28" t="str">
        <f t="shared" si="10"/>
        <v>rokwzgl=6 i lp=440</v>
      </c>
      <c r="L53" s="28" t="str">
        <f t="shared" si="10"/>
        <v>rokwzgl=7 i lp=440</v>
      </c>
      <c r="M53" s="28" t="str">
        <f t="shared" si="10"/>
        <v>rokwzgl=8 i lp=440</v>
      </c>
      <c r="N53" s="28" t="str">
        <f t="shared" si="11"/>
        <v>rokwzgl=9 i lp=440</v>
      </c>
      <c r="O53" s="28" t="str">
        <f t="shared" si="11"/>
        <v>rokwzgl=10 i lp=440</v>
      </c>
      <c r="P53" s="28" t="str">
        <f t="shared" si="11"/>
        <v>rokwzgl=11 i lp=440</v>
      </c>
      <c r="Q53" s="28" t="str">
        <f t="shared" si="11"/>
        <v>rokwzgl=12 i lp=440</v>
      </c>
      <c r="R53" s="28" t="str">
        <f t="shared" si="11"/>
        <v>rokwzgl=13 i lp=440</v>
      </c>
      <c r="S53" s="28" t="str">
        <f t="shared" si="11"/>
        <v>rokwzgl=14 i lp=440</v>
      </c>
      <c r="T53" s="28" t="str">
        <f t="shared" si="11"/>
        <v>rokwzgl=15 i lp=440</v>
      </c>
      <c r="U53" s="28" t="str">
        <f t="shared" si="11"/>
        <v>rokwzgl=16 i lp=440</v>
      </c>
      <c r="V53" s="28" t="str">
        <f t="shared" si="11"/>
        <v>rokwzgl=17 i lp=440</v>
      </c>
      <c r="W53" s="28" t="str">
        <f t="shared" si="11"/>
        <v>rokwzgl=18 i lp=440</v>
      </c>
      <c r="X53" s="28" t="str">
        <f t="shared" si="12"/>
        <v>rokwzgl=19 i lp=440</v>
      </c>
      <c r="Y53" s="28" t="str">
        <f t="shared" si="12"/>
        <v>rokwzgl=20 i lp=440</v>
      </c>
      <c r="Z53" s="28" t="str">
        <f t="shared" si="12"/>
        <v>rokwzgl=21 i lp=440</v>
      </c>
      <c r="AA53" s="28" t="str">
        <f t="shared" si="12"/>
        <v>rokwzgl=22 i lp=440</v>
      </c>
      <c r="AB53" s="28" t="str">
        <f t="shared" si="12"/>
        <v>rokwzgl=23 i lp=440</v>
      </c>
      <c r="AC53" s="28" t="str">
        <f t="shared" si="12"/>
        <v>rokwzgl=24 i lp=440</v>
      </c>
      <c r="AD53" s="28" t="str">
        <f t="shared" si="12"/>
        <v>rokwzgl=25 i lp=440</v>
      </c>
      <c r="AE53" s="28" t="str">
        <f t="shared" si="12"/>
        <v>rokwzgl=26 i lp=440</v>
      </c>
      <c r="AF53" s="28" t="str">
        <f t="shared" si="12"/>
        <v>rokwzgl=27 i lp=440</v>
      </c>
      <c r="AG53" s="28" t="str">
        <f t="shared" si="12"/>
        <v>rokwzgl=28 i lp=440</v>
      </c>
      <c r="AH53" s="28" t="str">
        <f t="shared" si="12"/>
        <v>rokwzgl=29 i lp=440</v>
      </c>
    </row>
    <row r="54" spans="1:34">
      <c r="A54" s="27">
        <v>470</v>
      </c>
      <c r="B54" s="27" t="s">
        <v>150</v>
      </c>
      <c r="C54" s="28" t="s">
        <v>380</v>
      </c>
      <c r="D54" s="28" t="str">
        <f t="shared" si="10"/>
        <v>rokwzgl=0 i lp=470</v>
      </c>
      <c r="E54" s="28" t="str">
        <f t="shared" si="10"/>
        <v>rokwzgl=0 i lp=470</v>
      </c>
      <c r="F54" s="28" t="str">
        <f t="shared" si="10"/>
        <v>rokwzgl=1 i lp=470</v>
      </c>
      <c r="G54" s="28" t="str">
        <f t="shared" si="10"/>
        <v>rokwzgl=2 i lp=470</v>
      </c>
      <c r="H54" s="28" t="str">
        <f t="shared" si="10"/>
        <v>rokwzgl=3 i lp=470</v>
      </c>
      <c r="I54" s="28" t="str">
        <f t="shared" si="10"/>
        <v>rokwzgl=4 i lp=470</v>
      </c>
      <c r="J54" s="28" t="str">
        <f t="shared" si="10"/>
        <v>rokwzgl=5 i lp=470</v>
      </c>
      <c r="K54" s="28" t="str">
        <f t="shared" si="10"/>
        <v>rokwzgl=6 i lp=470</v>
      </c>
      <c r="L54" s="28" t="str">
        <f t="shared" si="10"/>
        <v>rokwzgl=7 i lp=470</v>
      </c>
      <c r="M54" s="28" t="str">
        <f t="shared" si="10"/>
        <v>rokwzgl=8 i lp=470</v>
      </c>
      <c r="N54" s="28" t="str">
        <f t="shared" si="11"/>
        <v>rokwzgl=9 i lp=470</v>
      </c>
      <c r="O54" s="28" t="str">
        <f t="shared" si="11"/>
        <v>rokwzgl=10 i lp=470</v>
      </c>
      <c r="P54" s="28" t="str">
        <f t="shared" si="11"/>
        <v>rokwzgl=11 i lp=470</v>
      </c>
      <c r="Q54" s="28" t="str">
        <f t="shared" si="11"/>
        <v>rokwzgl=12 i lp=470</v>
      </c>
      <c r="R54" s="28" t="str">
        <f t="shared" si="11"/>
        <v>rokwzgl=13 i lp=470</v>
      </c>
      <c r="S54" s="28" t="str">
        <f t="shared" si="11"/>
        <v>rokwzgl=14 i lp=470</v>
      </c>
      <c r="T54" s="28" t="str">
        <f t="shared" si="11"/>
        <v>rokwzgl=15 i lp=470</v>
      </c>
      <c r="U54" s="28" t="str">
        <f t="shared" si="11"/>
        <v>rokwzgl=16 i lp=470</v>
      </c>
      <c r="V54" s="28" t="str">
        <f t="shared" si="11"/>
        <v>rokwzgl=17 i lp=470</v>
      </c>
      <c r="W54" s="28" t="str">
        <f t="shared" si="11"/>
        <v>rokwzgl=18 i lp=470</v>
      </c>
      <c r="X54" s="28" t="str">
        <f t="shared" si="12"/>
        <v>rokwzgl=19 i lp=470</v>
      </c>
      <c r="Y54" s="28" t="str">
        <f t="shared" si="12"/>
        <v>rokwzgl=20 i lp=470</v>
      </c>
      <c r="Z54" s="28" t="str">
        <f t="shared" si="12"/>
        <v>rokwzgl=21 i lp=470</v>
      </c>
      <c r="AA54" s="28" t="str">
        <f t="shared" si="12"/>
        <v>rokwzgl=22 i lp=470</v>
      </c>
      <c r="AB54" s="28" t="str">
        <f t="shared" si="12"/>
        <v>rokwzgl=23 i lp=470</v>
      </c>
      <c r="AC54" s="28" t="str">
        <f t="shared" si="12"/>
        <v>rokwzgl=24 i lp=470</v>
      </c>
      <c r="AD54" s="28" t="str">
        <f t="shared" si="12"/>
        <v>rokwzgl=25 i lp=470</v>
      </c>
      <c r="AE54" s="28" t="str">
        <f t="shared" si="12"/>
        <v>rokwzgl=26 i lp=470</v>
      </c>
      <c r="AF54" s="28" t="str">
        <f t="shared" si="12"/>
        <v>rokwzgl=27 i lp=470</v>
      </c>
      <c r="AG54" s="28" t="str">
        <f t="shared" si="12"/>
        <v>rokwzgl=28 i lp=470</v>
      </c>
      <c r="AH54" s="28" t="str">
        <f t="shared" si="12"/>
        <v>rokwzgl=29 i lp=470</v>
      </c>
    </row>
    <row r="55" spans="1:34">
      <c r="A55" s="27">
        <v>480</v>
      </c>
      <c r="B55" s="27" t="s">
        <v>151</v>
      </c>
      <c r="C55" s="28" t="s">
        <v>382</v>
      </c>
      <c r="D55" s="28" t="str">
        <f t="shared" si="10"/>
        <v>rokwzgl=0 i lp=480</v>
      </c>
      <c r="E55" s="28" t="str">
        <f t="shared" si="10"/>
        <v>rokwzgl=0 i lp=480</v>
      </c>
      <c r="F55" s="28" t="str">
        <f t="shared" si="10"/>
        <v>rokwzgl=1 i lp=480</v>
      </c>
      <c r="G55" s="28" t="str">
        <f t="shared" si="10"/>
        <v>rokwzgl=2 i lp=480</v>
      </c>
      <c r="H55" s="28" t="str">
        <f t="shared" si="10"/>
        <v>rokwzgl=3 i lp=480</v>
      </c>
      <c r="I55" s="28" t="str">
        <f t="shared" si="10"/>
        <v>rokwzgl=4 i lp=480</v>
      </c>
      <c r="J55" s="28" t="str">
        <f t="shared" si="10"/>
        <v>rokwzgl=5 i lp=480</v>
      </c>
      <c r="K55" s="28" t="str">
        <f t="shared" si="10"/>
        <v>rokwzgl=6 i lp=480</v>
      </c>
      <c r="L55" s="28" t="str">
        <f t="shared" si="10"/>
        <v>rokwzgl=7 i lp=480</v>
      </c>
      <c r="M55" s="28" t="str">
        <f t="shared" si="10"/>
        <v>rokwzgl=8 i lp=480</v>
      </c>
      <c r="N55" s="28" t="str">
        <f t="shared" si="11"/>
        <v>rokwzgl=9 i lp=480</v>
      </c>
      <c r="O55" s="28" t="str">
        <f t="shared" si="11"/>
        <v>rokwzgl=10 i lp=480</v>
      </c>
      <c r="P55" s="28" t="str">
        <f t="shared" si="11"/>
        <v>rokwzgl=11 i lp=480</v>
      </c>
      <c r="Q55" s="28" t="str">
        <f t="shared" si="11"/>
        <v>rokwzgl=12 i lp=480</v>
      </c>
      <c r="R55" s="28" t="str">
        <f t="shared" si="11"/>
        <v>rokwzgl=13 i lp=480</v>
      </c>
      <c r="S55" s="28" t="str">
        <f t="shared" si="11"/>
        <v>rokwzgl=14 i lp=480</v>
      </c>
      <c r="T55" s="28" t="str">
        <f t="shared" si="11"/>
        <v>rokwzgl=15 i lp=480</v>
      </c>
      <c r="U55" s="28" t="str">
        <f t="shared" si="11"/>
        <v>rokwzgl=16 i lp=480</v>
      </c>
      <c r="V55" s="28" t="str">
        <f t="shared" si="11"/>
        <v>rokwzgl=17 i lp=480</v>
      </c>
      <c r="W55" s="28" t="str">
        <f t="shared" si="11"/>
        <v>rokwzgl=18 i lp=480</v>
      </c>
      <c r="X55" s="28" t="str">
        <f t="shared" si="12"/>
        <v>rokwzgl=19 i lp=480</v>
      </c>
      <c r="Y55" s="28" t="str">
        <f t="shared" si="12"/>
        <v>rokwzgl=20 i lp=480</v>
      </c>
      <c r="Z55" s="28" t="str">
        <f t="shared" si="12"/>
        <v>rokwzgl=21 i lp=480</v>
      </c>
      <c r="AA55" s="28" t="str">
        <f t="shared" si="12"/>
        <v>rokwzgl=22 i lp=480</v>
      </c>
      <c r="AB55" s="28" t="str">
        <f t="shared" si="12"/>
        <v>rokwzgl=23 i lp=480</v>
      </c>
      <c r="AC55" s="28" t="str">
        <f t="shared" si="12"/>
        <v>rokwzgl=24 i lp=480</v>
      </c>
      <c r="AD55" s="28" t="str">
        <f t="shared" si="12"/>
        <v>rokwzgl=25 i lp=480</v>
      </c>
      <c r="AE55" s="28" t="str">
        <f t="shared" si="12"/>
        <v>rokwzgl=26 i lp=480</v>
      </c>
      <c r="AF55" s="28" t="str">
        <f t="shared" si="12"/>
        <v>rokwzgl=27 i lp=480</v>
      </c>
      <c r="AG55" s="28" t="str">
        <f t="shared" si="12"/>
        <v>rokwzgl=28 i lp=480</v>
      </c>
      <c r="AH55" s="28" t="str">
        <f t="shared" si="12"/>
        <v>rokwzgl=29 i lp=480</v>
      </c>
    </row>
    <row r="56" spans="1:34">
      <c r="A56" s="27">
        <v>490</v>
      </c>
      <c r="B56" s="27" t="s">
        <v>152</v>
      </c>
      <c r="C56" s="28" t="s">
        <v>383</v>
      </c>
      <c r="D56" s="28" t="str">
        <f t="shared" ref="D56:M65" si="13">+"rokwzgl="&amp;D$9&amp;" i lp="&amp;$A56</f>
        <v>rokwzgl=0 i lp=490</v>
      </c>
      <c r="E56" s="28" t="str">
        <f t="shared" si="13"/>
        <v>rokwzgl=0 i lp=490</v>
      </c>
      <c r="F56" s="28" t="str">
        <f t="shared" si="13"/>
        <v>rokwzgl=1 i lp=490</v>
      </c>
      <c r="G56" s="28" t="str">
        <f t="shared" si="13"/>
        <v>rokwzgl=2 i lp=490</v>
      </c>
      <c r="H56" s="28" t="str">
        <f t="shared" si="13"/>
        <v>rokwzgl=3 i lp=490</v>
      </c>
      <c r="I56" s="28" t="str">
        <f t="shared" si="13"/>
        <v>rokwzgl=4 i lp=490</v>
      </c>
      <c r="J56" s="28" t="str">
        <f t="shared" si="13"/>
        <v>rokwzgl=5 i lp=490</v>
      </c>
      <c r="K56" s="28" t="str">
        <f t="shared" si="13"/>
        <v>rokwzgl=6 i lp=490</v>
      </c>
      <c r="L56" s="28" t="str">
        <f t="shared" si="13"/>
        <v>rokwzgl=7 i lp=490</v>
      </c>
      <c r="M56" s="28" t="str">
        <f t="shared" si="13"/>
        <v>rokwzgl=8 i lp=490</v>
      </c>
      <c r="N56" s="28" t="str">
        <f t="shared" ref="N56:W65" si="14">+"rokwzgl="&amp;N$9&amp;" i lp="&amp;$A56</f>
        <v>rokwzgl=9 i lp=490</v>
      </c>
      <c r="O56" s="28" t="str">
        <f t="shared" si="14"/>
        <v>rokwzgl=10 i lp=490</v>
      </c>
      <c r="P56" s="28" t="str">
        <f t="shared" si="14"/>
        <v>rokwzgl=11 i lp=490</v>
      </c>
      <c r="Q56" s="28" t="str">
        <f t="shared" si="14"/>
        <v>rokwzgl=12 i lp=490</v>
      </c>
      <c r="R56" s="28" t="str">
        <f t="shared" si="14"/>
        <v>rokwzgl=13 i lp=490</v>
      </c>
      <c r="S56" s="28" t="str">
        <f t="shared" si="14"/>
        <v>rokwzgl=14 i lp=490</v>
      </c>
      <c r="T56" s="28" t="str">
        <f t="shared" si="14"/>
        <v>rokwzgl=15 i lp=490</v>
      </c>
      <c r="U56" s="28" t="str">
        <f t="shared" si="14"/>
        <v>rokwzgl=16 i lp=490</v>
      </c>
      <c r="V56" s="28" t="str">
        <f t="shared" si="14"/>
        <v>rokwzgl=17 i lp=490</v>
      </c>
      <c r="W56" s="28" t="str">
        <f t="shared" si="14"/>
        <v>rokwzgl=18 i lp=490</v>
      </c>
      <c r="X56" s="28" t="str">
        <f t="shared" ref="X56:AH65" si="15">+"rokwzgl="&amp;X$9&amp;" i lp="&amp;$A56</f>
        <v>rokwzgl=19 i lp=490</v>
      </c>
      <c r="Y56" s="28" t="str">
        <f t="shared" si="15"/>
        <v>rokwzgl=20 i lp=490</v>
      </c>
      <c r="Z56" s="28" t="str">
        <f t="shared" si="15"/>
        <v>rokwzgl=21 i lp=490</v>
      </c>
      <c r="AA56" s="28" t="str">
        <f t="shared" si="15"/>
        <v>rokwzgl=22 i lp=490</v>
      </c>
      <c r="AB56" s="28" t="str">
        <f t="shared" si="15"/>
        <v>rokwzgl=23 i lp=490</v>
      </c>
      <c r="AC56" s="28" t="str">
        <f t="shared" si="15"/>
        <v>rokwzgl=24 i lp=490</v>
      </c>
      <c r="AD56" s="28" t="str">
        <f t="shared" si="15"/>
        <v>rokwzgl=25 i lp=490</v>
      </c>
      <c r="AE56" s="28" t="str">
        <f t="shared" si="15"/>
        <v>rokwzgl=26 i lp=490</v>
      </c>
      <c r="AF56" s="28" t="str">
        <f t="shared" si="15"/>
        <v>rokwzgl=27 i lp=490</v>
      </c>
      <c r="AG56" s="28" t="str">
        <f t="shared" si="15"/>
        <v>rokwzgl=28 i lp=490</v>
      </c>
      <c r="AH56" s="28" t="str">
        <f t="shared" si="15"/>
        <v>rokwzgl=29 i lp=490</v>
      </c>
    </row>
    <row r="57" spans="1:34">
      <c r="A57" s="27">
        <v>500</v>
      </c>
      <c r="B57" s="27" t="s">
        <v>153</v>
      </c>
      <c r="C57" s="28" t="s">
        <v>385</v>
      </c>
      <c r="D57" s="28" t="str">
        <f t="shared" si="13"/>
        <v>rokwzgl=0 i lp=500</v>
      </c>
      <c r="E57" s="28" t="str">
        <f t="shared" si="13"/>
        <v>rokwzgl=0 i lp=500</v>
      </c>
      <c r="F57" s="28" t="str">
        <f t="shared" si="13"/>
        <v>rokwzgl=1 i lp=500</v>
      </c>
      <c r="G57" s="28" t="str">
        <f t="shared" si="13"/>
        <v>rokwzgl=2 i lp=500</v>
      </c>
      <c r="H57" s="28" t="str">
        <f t="shared" si="13"/>
        <v>rokwzgl=3 i lp=500</v>
      </c>
      <c r="I57" s="28" t="str">
        <f t="shared" si="13"/>
        <v>rokwzgl=4 i lp=500</v>
      </c>
      <c r="J57" s="28" t="str">
        <f t="shared" si="13"/>
        <v>rokwzgl=5 i lp=500</v>
      </c>
      <c r="K57" s="28" t="str">
        <f t="shared" si="13"/>
        <v>rokwzgl=6 i lp=500</v>
      </c>
      <c r="L57" s="28" t="str">
        <f t="shared" si="13"/>
        <v>rokwzgl=7 i lp=500</v>
      </c>
      <c r="M57" s="28" t="str">
        <f t="shared" si="13"/>
        <v>rokwzgl=8 i lp=500</v>
      </c>
      <c r="N57" s="28" t="str">
        <f t="shared" si="14"/>
        <v>rokwzgl=9 i lp=500</v>
      </c>
      <c r="O57" s="28" t="str">
        <f t="shared" si="14"/>
        <v>rokwzgl=10 i lp=500</v>
      </c>
      <c r="P57" s="28" t="str">
        <f t="shared" si="14"/>
        <v>rokwzgl=11 i lp=500</v>
      </c>
      <c r="Q57" s="28" t="str">
        <f t="shared" si="14"/>
        <v>rokwzgl=12 i lp=500</v>
      </c>
      <c r="R57" s="28" t="str">
        <f t="shared" si="14"/>
        <v>rokwzgl=13 i lp=500</v>
      </c>
      <c r="S57" s="28" t="str">
        <f t="shared" si="14"/>
        <v>rokwzgl=14 i lp=500</v>
      </c>
      <c r="T57" s="28" t="str">
        <f t="shared" si="14"/>
        <v>rokwzgl=15 i lp=500</v>
      </c>
      <c r="U57" s="28" t="str">
        <f t="shared" si="14"/>
        <v>rokwzgl=16 i lp=500</v>
      </c>
      <c r="V57" s="28" t="str">
        <f t="shared" si="14"/>
        <v>rokwzgl=17 i lp=500</v>
      </c>
      <c r="W57" s="28" t="str">
        <f t="shared" si="14"/>
        <v>rokwzgl=18 i lp=500</v>
      </c>
      <c r="X57" s="28" t="str">
        <f t="shared" si="15"/>
        <v>rokwzgl=19 i lp=500</v>
      </c>
      <c r="Y57" s="28" t="str">
        <f t="shared" si="15"/>
        <v>rokwzgl=20 i lp=500</v>
      </c>
      <c r="Z57" s="28" t="str">
        <f t="shared" si="15"/>
        <v>rokwzgl=21 i lp=500</v>
      </c>
      <c r="AA57" s="28" t="str">
        <f t="shared" si="15"/>
        <v>rokwzgl=22 i lp=500</v>
      </c>
      <c r="AB57" s="28" t="str">
        <f t="shared" si="15"/>
        <v>rokwzgl=23 i lp=500</v>
      </c>
      <c r="AC57" s="28" t="str">
        <f t="shared" si="15"/>
        <v>rokwzgl=24 i lp=500</v>
      </c>
      <c r="AD57" s="28" t="str">
        <f t="shared" si="15"/>
        <v>rokwzgl=25 i lp=500</v>
      </c>
      <c r="AE57" s="28" t="str">
        <f t="shared" si="15"/>
        <v>rokwzgl=26 i lp=500</v>
      </c>
      <c r="AF57" s="28" t="str">
        <f t="shared" si="15"/>
        <v>rokwzgl=27 i lp=500</v>
      </c>
      <c r="AG57" s="28" t="str">
        <f t="shared" si="15"/>
        <v>rokwzgl=28 i lp=500</v>
      </c>
      <c r="AH57" s="28" t="str">
        <f t="shared" si="15"/>
        <v>rokwzgl=29 i lp=500</v>
      </c>
    </row>
    <row r="58" spans="1:34">
      <c r="A58" s="27">
        <v>508</v>
      </c>
      <c r="B58" s="27" t="s">
        <v>154</v>
      </c>
      <c r="C58" s="28" t="s">
        <v>387</v>
      </c>
      <c r="D58" s="28" t="str">
        <f t="shared" si="13"/>
        <v>rokwzgl=0 i lp=508</v>
      </c>
      <c r="E58" s="28" t="str">
        <f t="shared" si="13"/>
        <v>rokwzgl=0 i lp=508</v>
      </c>
      <c r="F58" s="28" t="str">
        <f t="shared" si="13"/>
        <v>rokwzgl=1 i lp=508</v>
      </c>
      <c r="G58" s="28" t="str">
        <f t="shared" si="13"/>
        <v>rokwzgl=2 i lp=508</v>
      </c>
      <c r="H58" s="28" t="str">
        <f t="shared" si="13"/>
        <v>rokwzgl=3 i lp=508</v>
      </c>
      <c r="I58" s="28" t="str">
        <f t="shared" si="13"/>
        <v>rokwzgl=4 i lp=508</v>
      </c>
      <c r="J58" s="28" t="str">
        <f t="shared" si="13"/>
        <v>rokwzgl=5 i lp=508</v>
      </c>
      <c r="K58" s="28" t="str">
        <f t="shared" si="13"/>
        <v>rokwzgl=6 i lp=508</v>
      </c>
      <c r="L58" s="28" t="str">
        <f t="shared" si="13"/>
        <v>rokwzgl=7 i lp=508</v>
      </c>
      <c r="M58" s="28" t="str">
        <f t="shared" si="13"/>
        <v>rokwzgl=8 i lp=508</v>
      </c>
      <c r="N58" s="28" t="str">
        <f t="shared" si="14"/>
        <v>rokwzgl=9 i lp=508</v>
      </c>
      <c r="O58" s="28" t="str">
        <f t="shared" si="14"/>
        <v>rokwzgl=10 i lp=508</v>
      </c>
      <c r="P58" s="28" t="str">
        <f t="shared" si="14"/>
        <v>rokwzgl=11 i lp=508</v>
      </c>
      <c r="Q58" s="28" t="str">
        <f t="shared" si="14"/>
        <v>rokwzgl=12 i lp=508</v>
      </c>
      <c r="R58" s="28" t="str">
        <f t="shared" si="14"/>
        <v>rokwzgl=13 i lp=508</v>
      </c>
      <c r="S58" s="28" t="str">
        <f t="shared" si="14"/>
        <v>rokwzgl=14 i lp=508</v>
      </c>
      <c r="T58" s="28" t="str">
        <f t="shared" si="14"/>
        <v>rokwzgl=15 i lp=508</v>
      </c>
      <c r="U58" s="28" t="str">
        <f t="shared" si="14"/>
        <v>rokwzgl=16 i lp=508</v>
      </c>
      <c r="V58" s="28" t="str">
        <f t="shared" si="14"/>
        <v>rokwzgl=17 i lp=508</v>
      </c>
      <c r="W58" s="28" t="str">
        <f t="shared" si="14"/>
        <v>rokwzgl=18 i lp=508</v>
      </c>
      <c r="X58" s="28" t="str">
        <f t="shared" si="15"/>
        <v>rokwzgl=19 i lp=508</v>
      </c>
      <c r="Y58" s="28" t="str">
        <f t="shared" si="15"/>
        <v>rokwzgl=20 i lp=508</v>
      </c>
      <c r="Z58" s="28" t="str">
        <f t="shared" si="15"/>
        <v>rokwzgl=21 i lp=508</v>
      </c>
      <c r="AA58" s="28" t="str">
        <f t="shared" si="15"/>
        <v>rokwzgl=22 i lp=508</v>
      </c>
      <c r="AB58" s="28" t="str">
        <f t="shared" si="15"/>
        <v>rokwzgl=23 i lp=508</v>
      </c>
      <c r="AC58" s="28" t="str">
        <f t="shared" si="15"/>
        <v>rokwzgl=24 i lp=508</v>
      </c>
      <c r="AD58" s="28" t="str">
        <f t="shared" si="15"/>
        <v>rokwzgl=25 i lp=508</v>
      </c>
      <c r="AE58" s="28" t="str">
        <f t="shared" si="15"/>
        <v>rokwzgl=26 i lp=508</v>
      </c>
      <c r="AF58" s="28" t="str">
        <f t="shared" si="15"/>
        <v>rokwzgl=27 i lp=508</v>
      </c>
      <c r="AG58" s="28" t="str">
        <f t="shared" si="15"/>
        <v>rokwzgl=28 i lp=508</v>
      </c>
      <c r="AH58" s="28" t="str">
        <f t="shared" si="15"/>
        <v>rokwzgl=29 i lp=508</v>
      </c>
    </row>
    <row r="59" spans="1:34">
      <c r="A59" s="27">
        <v>510</v>
      </c>
      <c r="B59" s="27" t="s">
        <v>155</v>
      </c>
      <c r="C59" s="28" t="s">
        <v>389</v>
      </c>
      <c r="D59" s="28" t="str">
        <f t="shared" si="13"/>
        <v>rokwzgl=0 i lp=510</v>
      </c>
      <c r="E59" s="28" t="str">
        <f t="shared" si="13"/>
        <v>rokwzgl=0 i lp=510</v>
      </c>
      <c r="F59" s="28" t="str">
        <f t="shared" si="13"/>
        <v>rokwzgl=1 i lp=510</v>
      </c>
      <c r="G59" s="28" t="str">
        <f t="shared" si="13"/>
        <v>rokwzgl=2 i lp=510</v>
      </c>
      <c r="H59" s="28" t="str">
        <f t="shared" si="13"/>
        <v>rokwzgl=3 i lp=510</v>
      </c>
      <c r="I59" s="28" t="str">
        <f t="shared" si="13"/>
        <v>rokwzgl=4 i lp=510</v>
      </c>
      <c r="J59" s="28" t="str">
        <f t="shared" si="13"/>
        <v>rokwzgl=5 i lp=510</v>
      </c>
      <c r="K59" s="28" t="str">
        <f t="shared" si="13"/>
        <v>rokwzgl=6 i lp=510</v>
      </c>
      <c r="L59" s="28" t="str">
        <f t="shared" si="13"/>
        <v>rokwzgl=7 i lp=510</v>
      </c>
      <c r="M59" s="28" t="str">
        <f t="shared" si="13"/>
        <v>rokwzgl=8 i lp=510</v>
      </c>
      <c r="N59" s="28" t="str">
        <f t="shared" si="14"/>
        <v>rokwzgl=9 i lp=510</v>
      </c>
      <c r="O59" s="28" t="str">
        <f t="shared" si="14"/>
        <v>rokwzgl=10 i lp=510</v>
      </c>
      <c r="P59" s="28" t="str">
        <f t="shared" si="14"/>
        <v>rokwzgl=11 i lp=510</v>
      </c>
      <c r="Q59" s="28" t="str">
        <f t="shared" si="14"/>
        <v>rokwzgl=12 i lp=510</v>
      </c>
      <c r="R59" s="28" t="str">
        <f t="shared" si="14"/>
        <v>rokwzgl=13 i lp=510</v>
      </c>
      <c r="S59" s="28" t="str">
        <f t="shared" si="14"/>
        <v>rokwzgl=14 i lp=510</v>
      </c>
      <c r="T59" s="28" t="str">
        <f t="shared" si="14"/>
        <v>rokwzgl=15 i lp=510</v>
      </c>
      <c r="U59" s="28" t="str">
        <f t="shared" si="14"/>
        <v>rokwzgl=16 i lp=510</v>
      </c>
      <c r="V59" s="28" t="str">
        <f t="shared" si="14"/>
        <v>rokwzgl=17 i lp=510</v>
      </c>
      <c r="W59" s="28" t="str">
        <f t="shared" si="14"/>
        <v>rokwzgl=18 i lp=510</v>
      </c>
      <c r="X59" s="28" t="str">
        <f t="shared" si="15"/>
        <v>rokwzgl=19 i lp=510</v>
      </c>
      <c r="Y59" s="28" t="str">
        <f t="shared" si="15"/>
        <v>rokwzgl=20 i lp=510</v>
      </c>
      <c r="Z59" s="28" t="str">
        <f t="shared" si="15"/>
        <v>rokwzgl=21 i lp=510</v>
      </c>
      <c r="AA59" s="28" t="str">
        <f t="shared" si="15"/>
        <v>rokwzgl=22 i lp=510</v>
      </c>
      <c r="AB59" s="28" t="str">
        <f t="shared" si="15"/>
        <v>rokwzgl=23 i lp=510</v>
      </c>
      <c r="AC59" s="28" t="str">
        <f t="shared" si="15"/>
        <v>rokwzgl=24 i lp=510</v>
      </c>
      <c r="AD59" s="28" t="str">
        <f t="shared" si="15"/>
        <v>rokwzgl=25 i lp=510</v>
      </c>
      <c r="AE59" s="28" t="str">
        <f t="shared" si="15"/>
        <v>rokwzgl=26 i lp=510</v>
      </c>
      <c r="AF59" s="28" t="str">
        <f t="shared" si="15"/>
        <v>rokwzgl=27 i lp=510</v>
      </c>
      <c r="AG59" s="28" t="str">
        <f t="shared" si="15"/>
        <v>rokwzgl=28 i lp=510</v>
      </c>
      <c r="AH59" s="28" t="str">
        <f t="shared" si="15"/>
        <v>rokwzgl=29 i lp=510</v>
      </c>
    </row>
    <row r="60" spans="1:34">
      <c r="A60" s="27">
        <v>520</v>
      </c>
      <c r="B60" s="27" t="s">
        <v>83</v>
      </c>
      <c r="C60" s="28" t="s">
        <v>390</v>
      </c>
      <c r="D60" s="28" t="str">
        <f t="shared" si="13"/>
        <v>rokwzgl=0 i lp=520</v>
      </c>
      <c r="E60" s="28" t="str">
        <f t="shared" si="13"/>
        <v>rokwzgl=0 i lp=520</v>
      </c>
      <c r="F60" s="28" t="str">
        <f t="shared" si="13"/>
        <v>rokwzgl=1 i lp=520</v>
      </c>
      <c r="G60" s="28" t="str">
        <f t="shared" si="13"/>
        <v>rokwzgl=2 i lp=520</v>
      </c>
      <c r="H60" s="28" t="str">
        <f t="shared" si="13"/>
        <v>rokwzgl=3 i lp=520</v>
      </c>
      <c r="I60" s="28" t="str">
        <f t="shared" si="13"/>
        <v>rokwzgl=4 i lp=520</v>
      </c>
      <c r="J60" s="28" t="str">
        <f t="shared" si="13"/>
        <v>rokwzgl=5 i lp=520</v>
      </c>
      <c r="K60" s="28" t="str">
        <f t="shared" si="13"/>
        <v>rokwzgl=6 i lp=520</v>
      </c>
      <c r="L60" s="28" t="str">
        <f t="shared" si="13"/>
        <v>rokwzgl=7 i lp=520</v>
      </c>
      <c r="M60" s="28" t="str">
        <f t="shared" si="13"/>
        <v>rokwzgl=8 i lp=520</v>
      </c>
      <c r="N60" s="28" t="str">
        <f t="shared" si="14"/>
        <v>rokwzgl=9 i lp=520</v>
      </c>
      <c r="O60" s="28" t="str">
        <f t="shared" si="14"/>
        <v>rokwzgl=10 i lp=520</v>
      </c>
      <c r="P60" s="28" t="str">
        <f t="shared" si="14"/>
        <v>rokwzgl=11 i lp=520</v>
      </c>
      <c r="Q60" s="28" t="str">
        <f t="shared" si="14"/>
        <v>rokwzgl=12 i lp=520</v>
      </c>
      <c r="R60" s="28" t="str">
        <f t="shared" si="14"/>
        <v>rokwzgl=13 i lp=520</v>
      </c>
      <c r="S60" s="28" t="str">
        <f t="shared" si="14"/>
        <v>rokwzgl=14 i lp=520</v>
      </c>
      <c r="T60" s="28" t="str">
        <f t="shared" si="14"/>
        <v>rokwzgl=15 i lp=520</v>
      </c>
      <c r="U60" s="28" t="str">
        <f t="shared" si="14"/>
        <v>rokwzgl=16 i lp=520</v>
      </c>
      <c r="V60" s="28" t="str">
        <f t="shared" si="14"/>
        <v>rokwzgl=17 i lp=520</v>
      </c>
      <c r="W60" s="28" t="str">
        <f t="shared" si="14"/>
        <v>rokwzgl=18 i lp=520</v>
      </c>
      <c r="X60" s="28" t="str">
        <f t="shared" si="15"/>
        <v>rokwzgl=19 i lp=520</v>
      </c>
      <c r="Y60" s="28" t="str">
        <f t="shared" si="15"/>
        <v>rokwzgl=20 i lp=520</v>
      </c>
      <c r="Z60" s="28" t="str">
        <f t="shared" si="15"/>
        <v>rokwzgl=21 i lp=520</v>
      </c>
      <c r="AA60" s="28" t="str">
        <f t="shared" si="15"/>
        <v>rokwzgl=22 i lp=520</v>
      </c>
      <c r="AB60" s="28" t="str">
        <f t="shared" si="15"/>
        <v>rokwzgl=23 i lp=520</v>
      </c>
      <c r="AC60" s="28" t="str">
        <f t="shared" si="15"/>
        <v>rokwzgl=24 i lp=520</v>
      </c>
      <c r="AD60" s="28" t="str">
        <f t="shared" si="15"/>
        <v>rokwzgl=25 i lp=520</v>
      </c>
      <c r="AE60" s="28" t="str">
        <f t="shared" si="15"/>
        <v>rokwzgl=26 i lp=520</v>
      </c>
      <c r="AF60" s="28" t="str">
        <f t="shared" si="15"/>
        <v>rokwzgl=27 i lp=520</v>
      </c>
      <c r="AG60" s="28" t="str">
        <f t="shared" si="15"/>
        <v>rokwzgl=28 i lp=520</v>
      </c>
      <c r="AH60" s="28" t="str">
        <f t="shared" si="15"/>
        <v>rokwzgl=29 i lp=520</v>
      </c>
    </row>
    <row r="61" spans="1:34">
      <c r="A61" s="27">
        <v>530</v>
      </c>
      <c r="B61" s="27" t="s">
        <v>156</v>
      </c>
      <c r="C61" s="28" t="s">
        <v>392</v>
      </c>
      <c r="D61" s="28" t="str">
        <f t="shared" si="13"/>
        <v>rokwzgl=0 i lp=530</v>
      </c>
      <c r="E61" s="28" t="str">
        <f t="shared" si="13"/>
        <v>rokwzgl=0 i lp=530</v>
      </c>
      <c r="F61" s="28" t="str">
        <f t="shared" si="13"/>
        <v>rokwzgl=1 i lp=530</v>
      </c>
      <c r="G61" s="28" t="str">
        <f t="shared" si="13"/>
        <v>rokwzgl=2 i lp=530</v>
      </c>
      <c r="H61" s="28" t="str">
        <f t="shared" si="13"/>
        <v>rokwzgl=3 i lp=530</v>
      </c>
      <c r="I61" s="28" t="str">
        <f t="shared" si="13"/>
        <v>rokwzgl=4 i lp=530</v>
      </c>
      <c r="J61" s="28" t="str">
        <f t="shared" si="13"/>
        <v>rokwzgl=5 i lp=530</v>
      </c>
      <c r="K61" s="28" t="str">
        <f t="shared" si="13"/>
        <v>rokwzgl=6 i lp=530</v>
      </c>
      <c r="L61" s="28" t="str">
        <f t="shared" si="13"/>
        <v>rokwzgl=7 i lp=530</v>
      </c>
      <c r="M61" s="28" t="str">
        <f t="shared" si="13"/>
        <v>rokwzgl=8 i lp=530</v>
      </c>
      <c r="N61" s="28" t="str">
        <f t="shared" si="14"/>
        <v>rokwzgl=9 i lp=530</v>
      </c>
      <c r="O61" s="28" t="str">
        <f t="shared" si="14"/>
        <v>rokwzgl=10 i lp=530</v>
      </c>
      <c r="P61" s="28" t="str">
        <f t="shared" si="14"/>
        <v>rokwzgl=11 i lp=530</v>
      </c>
      <c r="Q61" s="28" t="str">
        <f t="shared" si="14"/>
        <v>rokwzgl=12 i lp=530</v>
      </c>
      <c r="R61" s="28" t="str">
        <f t="shared" si="14"/>
        <v>rokwzgl=13 i lp=530</v>
      </c>
      <c r="S61" s="28" t="str">
        <f t="shared" si="14"/>
        <v>rokwzgl=14 i lp=530</v>
      </c>
      <c r="T61" s="28" t="str">
        <f t="shared" si="14"/>
        <v>rokwzgl=15 i lp=530</v>
      </c>
      <c r="U61" s="28" t="str">
        <f t="shared" si="14"/>
        <v>rokwzgl=16 i lp=530</v>
      </c>
      <c r="V61" s="28" t="str">
        <f t="shared" si="14"/>
        <v>rokwzgl=17 i lp=530</v>
      </c>
      <c r="W61" s="28" t="str">
        <f t="shared" si="14"/>
        <v>rokwzgl=18 i lp=530</v>
      </c>
      <c r="X61" s="28" t="str">
        <f t="shared" si="15"/>
        <v>rokwzgl=19 i lp=530</v>
      </c>
      <c r="Y61" s="28" t="str">
        <f t="shared" si="15"/>
        <v>rokwzgl=20 i lp=530</v>
      </c>
      <c r="Z61" s="28" t="str">
        <f t="shared" si="15"/>
        <v>rokwzgl=21 i lp=530</v>
      </c>
      <c r="AA61" s="28" t="str">
        <f t="shared" si="15"/>
        <v>rokwzgl=22 i lp=530</v>
      </c>
      <c r="AB61" s="28" t="str">
        <f t="shared" si="15"/>
        <v>rokwzgl=23 i lp=530</v>
      </c>
      <c r="AC61" s="28" t="str">
        <f t="shared" si="15"/>
        <v>rokwzgl=24 i lp=530</v>
      </c>
      <c r="AD61" s="28" t="str">
        <f t="shared" si="15"/>
        <v>rokwzgl=25 i lp=530</v>
      </c>
      <c r="AE61" s="28" t="str">
        <f t="shared" si="15"/>
        <v>rokwzgl=26 i lp=530</v>
      </c>
      <c r="AF61" s="28" t="str">
        <f t="shared" si="15"/>
        <v>rokwzgl=27 i lp=530</v>
      </c>
      <c r="AG61" s="28" t="str">
        <f t="shared" si="15"/>
        <v>rokwzgl=28 i lp=530</v>
      </c>
      <c r="AH61" s="28" t="str">
        <f t="shared" si="15"/>
        <v>rokwzgl=29 i lp=530</v>
      </c>
    </row>
    <row r="62" spans="1:34">
      <c r="A62" s="27">
        <v>540</v>
      </c>
      <c r="B62" s="27" t="s">
        <v>84</v>
      </c>
      <c r="C62" s="28" t="s">
        <v>394</v>
      </c>
      <c r="D62" s="28" t="str">
        <f t="shared" si="13"/>
        <v>rokwzgl=0 i lp=540</v>
      </c>
      <c r="E62" s="28" t="str">
        <f t="shared" si="13"/>
        <v>rokwzgl=0 i lp=540</v>
      </c>
      <c r="F62" s="28" t="str">
        <f t="shared" si="13"/>
        <v>rokwzgl=1 i lp=540</v>
      </c>
      <c r="G62" s="28" t="str">
        <f t="shared" si="13"/>
        <v>rokwzgl=2 i lp=540</v>
      </c>
      <c r="H62" s="28" t="str">
        <f t="shared" si="13"/>
        <v>rokwzgl=3 i lp=540</v>
      </c>
      <c r="I62" s="28" t="str">
        <f t="shared" si="13"/>
        <v>rokwzgl=4 i lp=540</v>
      </c>
      <c r="J62" s="28" t="str">
        <f t="shared" si="13"/>
        <v>rokwzgl=5 i lp=540</v>
      </c>
      <c r="K62" s="28" t="str">
        <f t="shared" si="13"/>
        <v>rokwzgl=6 i lp=540</v>
      </c>
      <c r="L62" s="28" t="str">
        <f t="shared" si="13"/>
        <v>rokwzgl=7 i lp=540</v>
      </c>
      <c r="M62" s="28" t="str">
        <f t="shared" si="13"/>
        <v>rokwzgl=8 i lp=540</v>
      </c>
      <c r="N62" s="28" t="str">
        <f t="shared" si="14"/>
        <v>rokwzgl=9 i lp=540</v>
      </c>
      <c r="O62" s="28" t="str">
        <f t="shared" si="14"/>
        <v>rokwzgl=10 i lp=540</v>
      </c>
      <c r="P62" s="28" t="str">
        <f t="shared" si="14"/>
        <v>rokwzgl=11 i lp=540</v>
      </c>
      <c r="Q62" s="28" t="str">
        <f t="shared" si="14"/>
        <v>rokwzgl=12 i lp=540</v>
      </c>
      <c r="R62" s="28" t="str">
        <f t="shared" si="14"/>
        <v>rokwzgl=13 i lp=540</v>
      </c>
      <c r="S62" s="28" t="str">
        <f t="shared" si="14"/>
        <v>rokwzgl=14 i lp=540</v>
      </c>
      <c r="T62" s="28" t="str">
        <f t="shared" si="14"/>
        <v>rokwzgl=15 i lp=540</v>
      </c>
      <c r="U62" s="28" t="str">
        <f t="shared" si="14"/>
        <v>rokwzgl=16 i lp=540</v>
      </c>
      <c r="V62" s="28" t="str">
        <f t="shared" si="14"/>
        <v>rokwzgl=17 i lp=540</v>
      </c>
      <c r="W62" s="28" t="str">
        <f t="shared" si="14"/>
        <v>rokwzgl=18 i lp=540</v>
      </c>
      <c r="X62" s="28" t="str">
        <f t="shared" si="15"/>
        <v>rokwzgl=19 i lp=540</v>
      </c>
      <c r="Y62" s="28" t="str">
        <f t="shared" si="15"/>
        <v>rokwzgl=20 i lp=540</v>
      </c>
      <c r="Z62" s="28" t="str">
        <f t="shared" si="15"/>
        <v>rokwzgl=21 i lp=540</v>
      </c>
      <c r="AA62" s="28" t="str">
        <f t="shared" si="15"/>
        <v>rokwzgl=22 i lp=540</v>
      </c>
      <c r="AB62" s="28" t="str">
        <f t="shared" si="15"/>
        <v>rokwzgl=23 i lp=540</v>
      </c>
      <c r="AC62" s="28" t="str">
        <f t="shared" si="15"/>
        <v>rokwzgl=24 i lp=540</v>
      </c>
      <c r="AD62" s="28" t="str">
        <f t="shared" si="15"/>
        <v>rokwzgl=25 i lp=540</v>
      </c>
      <c r="AE62" s="28" t="str">
        <f t="shared" si="15"/>
        <v>rokwzgl=26 i lp=540</v>
      </c>
      <c r="AF62" s="28" t="str">
        <f t="shared" si="15"/>
        <v>rokwzgl=27 i lp=540</v>
      </c>
      <c r="AG62" s="28" t="str">
        <f t="shared" si="15"/>
        <v>rokwzgl=28 i lp=540</v>
      </c>
      <c r="AH62" s="28" t="str">
        <f t="shared" si="15"/>
        <v>rokwzgl=29 i lp=540</v>
      </c>
    </row>
    <row r="63" spans="1:34">
      <c r="A63" s="27">
        <v>550</v>
      </c>
      <c r="B63" s="27">
        <v>10</v>
      </c>
      <c r="C63" s="28" t="s">
        <v>85</v>
      </c>
      <c r="D63" s="28" t="str">
        <f t="shared" si="13"/>
        <v>rokwzgl=0 i lp=550</v>
      </c>
      <c r="E63" s="28" t="str">
        <f t="shared" si="13"/>
        <v>rokwzgl=0 i lp=550</v>
      </c>
      <c r="F63" s="28" t="str">
        <f t="shared" si="13"/>
        <v>rokwzgl=1 i lp=550</v>
      </c>
      <c r="G63" s="28" t="str">
        <f t="shared" si="13"/>
        <v>rokwzgl=2 i lp=550</v>
      </c>
      <c r="H63" s="28" t="str">
        <f t="shared" si="13"/>
        <v>rokwzgl=3 i lp=550</v>
      </c>
      <c r="I63" s="28" t="str">
        <f t="shared" si="13"/>
        <v>rokwzgl=4 i lp=550</v>
      </c>
      <c r="J63" s="28" t="str">
        <f t="shared" si="13"/>
        <v>rokwzgl=5 i lp=550</v>
      </c>
      <c r="K63" s="28" t="str">
        <f t="shared" si="13"/>
        <v>rokwzgl=6 i lp=550</v>
      </c>
      <c r="L63" s="28" t="str">
        <f t="shared" si="13"/>
        <v>rokwzgl=7 i lp=550</v>
      </c>
      <c r="M63" s="28" t="str">
        <f t="shared" si="13"/>
        <v>rokwzgl=8 i lp=550</v>
      </c>
      <c r="N63" s="28" t="str">
        <f t="shared" si="14"/>
        <v>rokwzgl=9 i lp=550</v>
      </c>
      <c r="O63" s="28" t="str">
        <f t="shared" si="14"/>
        <v>rokwzgl=10 i lp=550</v>
      </c>
      <c r="P63" s="28" t="str">
        <f t="shared" si="14"/>
        <v>rokwzgl=11 i lp=550</v>
      </c>
      <c r="Q63" s="28" t="str">
        <f t="shared" si="14"/>
        <v>rokwzgl=12 i lp=550</v>
      </c>
      <c r="R63" s="28" t="str">
        <f t="shared" si="14"/>
        <v>rokwzgl=13 i lp=550</v>
      </c>
      <c r="S63" s="28" t="str">
        <f t="shared" si="14"/>
        <v>rokwzgl=14 i lp=550</v>
      </c>
      <c r="T63" s="28" t="str">
        <f t="shared" si="14"/>
        <v>rokwzgl=15 i lp=550</v>
      </c>
      <c r="U63" s="28" t="str">
        <f t="shared" si="14"/>
        <v>rokwzgl=16 i lp=550</v>
      </c>
      <c r="V63" s="28" t="str">
        <f t="shared" si="14"/>
        <v>rokwzgl=17 i lp=550</v>
      </c>
      <c r="W63" s="28" t="str">
        <f t="shared" si="14"/>
        <v>rokwzgl=18 i lp=550</v>
      </c>
      <c r="X63" s="28" t="str">
        <f t="shared" si="15"/>
        <v>rokwzgl=19 i lp=550</v>
      </c>
      <c r="Y63" s="28" t="str">
        <f t="shared" si="15"/>
        <v>rokwzgl=20 i lp=550</v>
      </c>
      <c r="Z63" s="28" t="str">
        <f t="shared" si="15"/>
        <v>rokwzgl=21 i lp=550</v>
      </c>
      <c r="AA63" s="28" t="str">
        <f t="shared" si="15"/>
        <v>rokwzgl=22 i lp=550</v>
      </c>
      <c r="AB63" s="28" t="str">
        <f t="shared" si="15"/>
        <v>rokwzgl=23 i lp=550</v>
      </c>
      <c r="AC63" s="28" t="str">
        <f t="shared" si="15"/>
        <v>rokwzgl=24 i lp=550</v>
      </c>
      <c r="AD63" s="28" t="str">
        <f t="shared" si="15"/>
        <v>rokwzgl=25 i lp=550</v>
      </c>
      <c r="AE63" s="28" t="str">
        <f t="shared" si="15"/>
        <v>rokwzgl=26 i lp=550</v>
      </c>
      <c r="AF63" s="28" t="str">
        <f t="shared" si="15"/>
        <v>rokwzgl=27 i lp=550</v>
      </c>
      <c r="AG63" s="28" t="str">
        <f t="shared" si="15"/>
        <v>rokwzgl=28 i lp=550</v>
      </c>
      <c r="AH63" s="28" t="str">
        <f t="shared" si="15"/>
        <v>rokwzgl=29 i lp=550</v>
      </c>
    </row>
    <row r="64" spans="1:34">
      <c r="A64" s="27">
        <v>560</v>
      </c>
      <c r="B64" s="27" t="s">
        <v>157</v>
      </c>
      <c r="C64" s="28" t="s">
        <v>86</v>
      </c>
      <c r="D64" s="28" t="str">
        <f t="shared" si="13"/>
        <v>rokwzgl=0 i lp=560</v>
      </c>
      <c r="E64" s="28" t="str">
        <f t="shared" si="13"/>
        <v>rokwzgl=0 i lp=560</v>
      </c>
      <c r="F64" s="28" t="str">
        <f t="shared" si="13"/>
        <v>rokwzgl=1 i lp=560</v>
      </c>
      <c r="G64" s="28" t="str">
        <f t="shared" si="13"/>
        <v>rokwzgl=2 i lp=560</v>
      </c>
      <c r="H64" s="28" t="str">
        <f t="shared" si="13"/>
        <v>rokwzgl=3 i lp=560</v>
      </c>
      <c r="I64" s="28" t="str">
        <f t="shared" si="13"/>
        <v>rokwzgl=4 i lp=560</v>
      </c>
      <c r="J64" s="28" t="str">
        <f t="shared" si="13"/>
        <v>rokwzgl=5 i lp=560</v>
      </c>
      <c r="K64" s="28" t="str">
        <f t="shared" si="13"/>
        <v>rokwzgl=6 i lp=560</v>
      </c>
      <c r="L64" s="28" t="str">
        <f t="shared" si="13"/>
        <v>rokwzgl=7 i lp=560</v>
      </c>
      <c r="M64" s="28" t="str">
        <f t="shared" si="13"/>
        <v>rokwzgl=8 i lp=560</v>
      </c>
      <c r="N64" s="28" t="str">
        <f t="shared" si="14"/>
        <v>rokwzgl=9 i lp=560</v>
      </c>
      <c r="O64" s="28" t="str">
        <f t="shared" si="14"/>
        <v>rokwzgl=10 i lp=560</v>
      </c>
      <c r="P64" s="28" t="str">
        <f t="shared" si="14"/>
        <v>rokwzgl=11 i lp=560</v>
      </c>
      <c r="Q64" s="28" t="str">
        <f t="shared" si="14"/>
        <v>rokwzgl=12 i lp=560</v>
      </c>
      <c r="R64" s="28" t="str">
        <f t="shared" si="14"/>
        <v>rokwzgl=13 i lp=560</v>
      </c>
      <c r="S64" s="28" t="str">
        <f t="shared" si="14"/>
        <v>rokwzgl=14 i lp=560</v>
      </c>
      <c r="T64" s="28" t="str">
        <f t="shared" si="14"/>
        <v>rokwzgl=15 i lp=560</v>
      </c>
      <c r="U64" s="28" t="str">
        <f t="shared" si="14"/>
        <v>rokwzgl=16 i lp=560</v>
      </c>
      <c r="V64" s="28" t="str">
        <f t="shared" si="14"/>
        <v>rokwzgl=17 i lp=560</v>
      </c>
      <c r="W64" s="28" t="str">
        <f t="shared" si="14"/>
        <v>rokwzgl=18 i lp=560</v>
      </c>
      <c r="X64" s="28" t="str">
        <f t="shared" si="15"/>
        <v>rokwzgl=19 i lp=560</v>
      </c>
      <c r="Y64" s="28" t="str">
        <f t="shared" si="15"/>
        <v>rokwzgl=20 i lp=560</v>
      </c>
      <c r="Z64" s="28" t="str">
        <f t="shared" si="15"/>
        <v>rokwzgl=21 i lp=560</v>
      </c>
      <c r="AA64" s="28" t="str">
        <f t="shared" si="15"/>
        <v>rokwzgl=22 i lp=560</v>
      </c>
      <c r="AB64" s="28" t="str">
        <f t="shared" si="15"/>
        <v>rokwzgl=23 i lp=560</v>
      </c>
      <c r="AC64" s="28" t="str">
        <f t="shared" si="15"/>
        <v>rokwzgl=24 i lp=560</v>
      </c>
      <c r="AD64" s="28" t="str">
        <f t="shared" si="15"/>
        <v>rokwzgl=25 i lp=560</v>
      </c>
      <c r="AE64" s="28" t="str">
        <f t="shared" si="15"/>
        <v>rokwzgl=26 i lp=560</v>
      </c>
      <c r="AF64" s="28" t="str">
        <f t="shared" si="15"/>
        <v>rokwzgl=27 i lp=560</v>
      </c>
      <c r="AG64" s="28" t="str">
        <f t="shared" si="15"/>
        <v>rokwzgl=28 i lp=560</v>
      </c>
      <c r="AH64" s="28" t="str">
        <f t="shared" si="15"/>
        <v>rokwzgl=29 i lp=560</v>
      </c>
    </row>
    <row r="65" spans="1:34">
      <c r="A65" s="27">
        <v>570</v>
      </c>
      <c r="B65" s="27">
        <v>11</v>
      </c>
      <c r="C65" s="28" t="s">
        <v>87</v>
      </c>
      <c r="D65" s="28" t="str">
        <f t="shared" si="13"/>
        <v>rokwzgl=0 i lp=570</v>
      </c>
      <c r="E65" s="28" t="str">
        <f t="shared" si="13"/>
        <v>rokwzgl=0 i lp=570</v>
      </c>
      <c r="F65" s="28" t="str">
        <f t="shared" si="13"/>
        <v>rokwzgl=1 i lp=570</v>
      </c>
      <c r="G65" s="28" t="str">
        <f t="shared" si="13"/>
        <v>rokwzgl=2 i lp=570</v>
      </c>
      <c r="H65" s="28" t="str">
        <f t="shared" si="13"/>
        <v>rokwzgl=3 i lp=570</v>
      </c>
      <c r="I65" s="28" t="str">
        <f t="shared" si="13"/>
        <v>rokwzgl=4 i lp=570</v>
      </c>
      <c r="J65" s="28" t="str">
        <f t="shared" si="13"/>
        <v>rokwzgl=5 i lp=570</v>
      </c>
      <c r="K65" s="28" t="str">
        <f t="shared" si="13"/>
        <v>rokwzgl=6 i lp=570</v>
      </c>
      <c r="L65" s="28" t="str">
        <f t="shared" si="13"/>
        <v>rokwzgl=7 i lp=570</v>
      </c>
      <c r="M65" s="28" t="str">
        <f t="shared" si="13"/>
        <v>rokwzgl=8 i lp=570</v>
      </c>
      <c r="N65" s="28" t="str">
        <f t="shared" si="14"/>
        <v>rokwzgl=9 i lp=570</v>
      </c>
      <c r="O65" s="28" t="str">
        <f t="shared" si="14"/>
        <v>rokwzgl=10 i lp=570</v>
      </c>
      <c r="P65" s="28" t="str">
        <f t="shared" si="14"/>
        <v>rokwzgl=11 i lp=570</v>
      </c>
      <c r="Q65" s="28" t="str">
        <f t="shared" si="14"/>
        <v>rokwzgl=12 i lp=570</v>
      </c>
      <c r="R65" s="28" t="str">
        <f t="shared" si="14"/>
        <v>rokwzgl=13 i lp=570</v>
      </c>
      <c r="S65" s="28" t="str">
        <f t="shared" si="14"/>
        <v>rokwzgl=14 i lp=570</v>
      </c>
      <c r="T65" s="28" t="str">
        <f t="shared" si="14"/>
        <v>rokwzgl=15 i lp=570</v>
      </c>
      <c r="U65" s="28" t="str">
        <f t="shared" si="14"/>
        <v>rokwzgl=16 i lp=570</v>
      </c>
      <c r="V65" s="28" t="str">
        <f t="shared" si="14"/>
        <v>rokwzgl=17 i lp=570</v>
      </c>
      <c r="W65" s="28" t="str">
        <f t="shared" si="14"/>
        <v>rokwzgl=18 i lp=570</v>
      </c>
      <c r="X65" s="28" t="str">
        <f t="shared" si="15"/>
        <v>rokwzgl=19 i lp=570</v>
      </c>
      <c r="Y65" s="28" t="str">
        <f t="shared" si="15"/>
        <v>rokwzgl=20 i lp=570</v>
      </c>
      <c r="Z65" s="28" t="str">
        <f t="shared" si="15"/>
        <v>rokwzgl=21 i lp=570</v>
      </c>
      <c r="AA65" s="28" t="str">
        <f t="shared" si="15"/>
        <v>rokwzgl=22 i lp=570</v>
      </c>
      <c r="AB65" s="28" t="str">
        <f t="shared" si="15"/>
        <v>rokwzgl=23 i lp=570</v>
      </c>
      <c r="AC65" s="28" t="str">
        <f t="shared" si="15"/>
        <v>rokwzgl=24 i lp=570</v>
      </c>
      <c r="AD65" s="28" t="str">
        <f t="shared" si="15"/>
        <v>rokwzgl=25 i lp=570</v>
      </c>
      <c r="AE65" s="28" t="str">
        <f t="shared" si="15"/>
        <v>rokwzgl=26 i lp=570</v>
      </c>
      <c r="AF65" s="28" t="str">
        <f t="shared" si="15"/>
        <v>rokwzgl=27 i lp=570</v>
      </c>
      <c r="AG65" s="28" t="str">
        <f t="shared" si="15"/>
        <v>rokwzgl=28 i lp=570</v>
      </c>
      <c r="AH65" s="28" t="str">
        <f t="shared" si="15"/>
        <v>rokwzgl=29 i lp=570</v>
      </c>
    </row>
    <row r="66" spans="1:34">
      <c r="A66" s="27">
        <v>580</v>
      </c>
      <c r="B66" s="27" t="s">
        <v>158</v>
      </c>
      <c r="C66" s="28" t="s">
        <v>88</v>
      </c>
      <c r="D66" s="28" t="str">
        <f t="shared" ref="D66:M75" si="16">+"rokwzgl="&amp;D$9&amp;" i lp="&amp;$A66</f>
        <v>rokwzgl=0 i lp=580</v>
      </c>
      <c r="E66" s="28" t="str">
        <f t="shared" si="16"/>
        <v>rokwzgl=0 i lp=580</v>
      </c>
      <c r="F66" s="28" t="str">
        <f t="shared" si="16"/>
        <v>rokwzgl=1 i lp=580</v>
      </c>
      <c r="G66" s="28" t="str">
        <f t="shared" si="16"/>
        <v>rokwzgl=2 i lp=580</v>
      </c>
      <c r="H66" s="28" t="str">
        <f t="shared" si="16"/>
        <v>rokwzgl=3 i lp=580</v>
      </c>
      <c r="I66" s="28" t="str">
        <f t="shared" si="16"/>
        <v>rokwzgl=4 i lp=580</v>
      </c>
      <c r="J66" s="28" t="str">
        <f t="shared" si="16"/>
        <v>rokwzgl=5 i lp=580</v>
      </c>
      <c r="K66" s="28" t="str">
        <f t="shared" si="16"/>
        <v>rokwzgl=6 i lp=580</v>
      </c>
      <c r="L66" s="28" t="str">
        <f t="shared" si="16"/>
        <v>rokwzgl=7 i lp=580</v>
      </c>
      <c r="M66" s="28" t="str">
        <f t="shared" si="16"/>
        <v>rokwzgl=8 i lp=580</v>
      </c>
      <c r="N66" s="28" t="str">
        <f t="shared" ref="N66:W75" si="17">+"rokwzgl="&amp;N$9&amp;" i lp="&amp;$A66</f>
        <v>rokwzgl=9 i lp=580</v>
      </c>
      <c r="O66" s="28" t="str">
        <f t="shared" si="17"/>
        <v>rokwzgl=10 i lp=580</v>
      </c>
      <c r="P66" s="28" t="str">
        <f t="shared" si="17"/>
        <v>rokwzgl=11 i lp=580</v>
      </c>
      <c r="Q66" s="28" t="str">
        <f t="shared" si="17"/>
        <v>rokwzgl=12 i lp=580</v>
      </c>
      <c r="R66" s="28" t="str">
        <f t="shared" si="17"/>
        <v>rokwzgl=13 i lp=580</v>
      </c>
      <c r="S66" s="28" t="str">
        <f t="shared" si="17"/>
        <v>rokwzgl=14 i lp=580</v>
      </c>
      <c r="T66" s="28" t="str">
        <f t="shared" si="17"/>
        <v>rokwzgl=15 i lp=580</v>
      </c>
      <c r="U66" s="28" t="str">
        <f t="shared" si="17"/>
        <v>rokwzgl=16 i lp=580</v>
      </c>
      <c r="V66" s="28" t="str">
        <f t="shared" si="17"/>
        <v>rokwzgl=17 i lp=580</v>
      </c>
      <c r="W66" s="28" t="str">
        <f t="shared" si="17"/>
        <v>rokwzgl=18 i lp=580</v>
      </c>
      <c r="X66" s="28" t="str">
        <f t="shared" ref="X66:AH75" si="18">+"rokwzgl="&amp;X$9&amp;" i lp="&amp;$A66</f>
        <v>rokwzgl=19 i lp=580</v>
      </c>
      <c r="Y66" s="28" t="str">
        <f t="shared" si="18"/>
        <v>rokwzgl=20 i lp=580</v>
      </c>
      <c r="Z66" s="28" t="str">
        <f t="shared" si="18"/>
        <v>rokwzgl=21 i lp=580</v>
      </c>
      <c r="AA66" s="28" t="str">
        <f t="shared" si="18"/>
        <v>rokwzgl=22 i lp=580</v>
      </c>
      <c r="AB66" s="28" t="str">
        <f t="shared" si="18"/>
        <v>rokwzgl=23 i lp=580</v>
      </c>
      <c r="AC66" s="28" t="str">
        <f t="shared" si="18"/>
        <v>rokwzgl=24 i lp=580</v>
      </c>
      <c r="AD66" s="28" t="str">
        <f t="shared" si="18"/>
        <v>rokwzgl=25 i lp=580</v>
      </c>
      <c r="AE66" s="28" t="str">
        <f t="shared" si="18"/>
        <v>rokwzgl=26 i lp=580</v>
      </c>
      <c r="AF66" s="28" t="str">
        <f t="shared" si="18"/>
        <v>rokwzgl=27 i lp=580</v>
      </c>
      <c r="AG66" s="28" t="str">
        <f t="shared" si="18"/>
        <v>rokwzgl=28 i lp=580</v>
      </c>
      <c r="AH66" s="28" t="str">
        <f t="shared" si="18"/>
        <v>rokwzgl=29 i lp=580</v>
      </c>
    </row>
    <row r="67" spans="1:34">
      <c r="A67" s="27">
        <v>590</v>
      </c>
      <c r="B67" s="27" t="s">
        <v>159</v>
      </c>
      <c r="C67" s="28" t="s">
        <v>89</v>
      </c>
      <c r="D67" s="28" t="str">
        <f t="shared" si="16"/>
        <v>rokwzgl=0 i lp=590</v>
      </c>
      <c r="E67" s="28" t="str">
        <f t="shared" si="16"/>
        <v>rokwzgl=0 i lp=590</v>
      </c>
      <c r="F67" s="28" t="str">
        <f t="shared" si="16"/>
        <v>rokwzgl=1 i lp=590</v>
      </c>
      <c r="G67" s="28" t="str">
        <f t="shared" si="16"/>
        <v>rokwzgl=2 i lp=590</v>
      </c>
      <c r="H67" s="28" t="str">
        <f t="shared" si="16"/>
        <v>rokwzgl=3 i lp=590</v>
      </c>
      <c r="I67" s="28" t="str">
        <f t="shared" si="16"/>
        <v>rokwzgl=4 i lp=590</v>
      </c>
      <c r="J67" s="28" t="str">
        <f t="shared" si="16"/>
        <v>rokwzgl=5 i lp=590</v>
      </c>
      <c r="K67" s="28" t="str">
        <f t="shared" si="16"/>
        <v>rokwzgl=6 i lp=590</v>
      </c>
      <c r="L67" s="28" t="str">
        <f t="shared" si="16"/>
        <v>rokwzgl=7 i lp=590</v>
      </c>
      <c r="M67" s="28" t="str">
        <f t="shared" si="16"/>
        <v>rokwzgl=8 i lp=590</v>
      </c>
      <c r="N67" s="28" t="str">
        <f t="shared" si="17"/>
        <v>rokwzgl=9 i lp=590</v>
      </c>
      <c r="O67" s="28" t="str">
        <f t="shared" si="17"/>
        <v>rokwzgl=10 i lp=590</v>
      </c>
      <c r="P67" s="28" t="str">
        <f t="shared" si="17"/>
        <v>rokwzgl=11 i lp=590</v>
      </c>
      <c r="Q67" s="28" t="str">
        <f t="shared" si="17"/>
        <v>rokwzgl=12 i lp=590</v>
      </c>
      <c r="R67" s="28" t="str">
        <f t="shared" si="17"/>
        <v>rokwzgl=13 i lp=590</v>
      </c>
      <c r="S67" s="28" t="str">
        <f t="shared" si="17"/>
        <v>rokwzgl=14 i lp=590</v>
      </c>
      <c r="T67" s="28" t="str">
        <f t="shared" si="17"/>
        <v>rokwzgl=15 i lp=590</v>
      </c>
      <c r="U67" s="28" t="str">
        <f t="shared" si="17"/>
        <v>rokwzgl=16 i lp=590</v>
      </c>
      <c r="V67" s="28" t="str">
        <f t="shared" si="17"/>
        <v>rokwzgl=17 i lp=590</v>
      </c>
      <c r="W67" s="28" t="str">
        <f t="shared" si="17"/>
        <v>rokwzgl=18 i lp=590</v>
      </c>
      <c r="X67" s="28" t="str">
        <f t="shared" si="18"/>
        <v>rokwzgl=19 i lp=590</v>
      </c>
      <c r="Y67" s="28" t="str">
        <f t="shared" si="18"/>
        <v>rokwzgl=20 i lp=590</v>
      </c>
      <c r="Z67" s="28" t="str">
        <f t="shared" si="18"/>
        <v>rokwzgl=21 i lp=590</v>
      </c>
      <c r="AA67" s="28" t="str">
        <f t="shared" si="18"/>
        <v>rokwzgl=22 i lp=590</v>
      </c>
      <c r="AB67" s="28" t="str">
        <f t="shared" si="18"/>
        <v>rokwzgl=23 i lp=590</v>
      </c>
      <c r="AC67" s="28" t="str">
        <f t="shared" si="18"/>
        <v>rokwzgl=24 i lp=590</v>
      </c>
      <c r="AD67" s="28" t="str">
        <f t="shared" si="18"/>
        <v>rokwzgl=25 i lp=590</v>
      </c>
      <c r="AE67" s="28" t="str">
        <f t="shared" si="18"/>
        <v>rokwzgl=26 i lp=590</v>
      </c>
      <c r="AF67" s="28" t="str">
        <f t="shared" si="18"/>
        <v>rokwzgl=27 i lp=590</v>
      </c>
      <c r="AG67" s="28" t="str">
        <f t="shared" si="18"/>
        <v>rokwzgl=28 i lp=590</v>
      </c>
      <c r="AH67" s="28" t="str">
        <f t="shared" si="18"/>
        <v>rokwzgl=29 i lp=590</v>
      </c>
    </row>
    <row r="68" spans="1:34">
      <c r="A68" s="27">
        <v>600</v>
      </c>
      <c r="B68" s="27" t="s">
        <v>160</v>
      </c>
      <c r="C68" s="28" t="s">
        <v>396</v>
      </c>
      <c r="D68" s="28" t="str">
        <f t="shared" si="16"/>
        <v>rokwzgl=0 i lp=600</v>
      </c>
      <c r="E68" s="28" t="str">
        <f t="shared" si="16"/>
        <v>rokwzgl=0 i lp=600</v>
      </c>
      <c r="F68" s="28" t="str">
        <f t="shared" si="16"/>
        <v>rokwzgl=1 i lp=600</v>
      </c>
      <c r="G68" s="28" t="str">
        <f t="shared" si="16"/>
        <v>rokwzgl=2 i lp=600</v>
      </c>
      <c r="H68" s="28" t="str">
        <f t="shared" si="16"/>
        <v>rokwzgl=3 i lp=600</v>
      </c>
      <c r="I68" s="28" t="str">
        <f t="shared" si="16"/>
        <v>rokwzgl=4 i lp=600</v>
      </c>
      <c r="J68" s="28" t="str">
        <f t="shared" si="16"/>
        <v>rokwzgl=5 i lp=600</v>
      </c>
      <c r="K68" s="28" t="str">
        <f t="shared" si="16"/>
        <v>rokwzgl=6 i lp=600</v>
      </c>
      <c r="L68" s="28" t="str">
        <f t="shared" si="16"/>
        <v>rokwzgl=7 i lp=600</v>
      </c>
      <c r="M68" s="28" t="str">
        <f t="shared" si="16"/>
        <v>rokwzgl=8 i lp=600</v>
      </c>
      <c r="N68" s="28" t="str">
        <f t="shared" si="17"/>
        <v>rokwzgl=9 i lp=600</v>
      </c>
      <c r="O68" s="28" t="str">
        <f t="shared" si="17"/>
        <v>rokwzgl=10 i lp=600</v>
      </c>
      <c r="P68" s="28" t="str">
        <f t="shared" si="17"/>
        <v>rokwzgl=11 i lp=600</v>
      </c>
      <c r="Q68" s="28" t="str">
        <f t="shared" si="17"/>
        <v>rokwzgl=12 i lp=600</v>
      </c>
      <c r="R68" s="28" t="str">
        <f t="shared" si="17"/>
        <v>rokwzgl=13 i lp=600</v>
      </c>
      <c r="S68" s="28" t="str">
        <f t="shared" si="17"/>
        <v>rokwzgl=14 i lp=600</v>
      </c>
      <c r="T68" s="28" t="str">
        <f t="shared" si="17"/>
        <v>rokwzgl=15 i lp=600</v>
      </c>
      <c r="U68" s="28" t="str">
        <f t="shared" si="17"/>
        <v>rokwzgl=16 i lp=600</v>
      </c>
      <c r="V68" s="28" t="str">
        <f t="shared" si="17"/>
        <v>rokwzgl=17 i lp=600</v>
      </c>
      <c r="W68" s="28" t="str">
        <f t="shared" si="17"/>
        <v>rokwzgl=18 i lp=600</v>
      </c>
      <c r="X68" s="28" t="str">
        <f t="shared" si="18"/>
        <v>rokwzgl=19 i lp=600</v>
      </c>
      <c r="Y68" s="28" t="str">
        <f t="shared" si="18"/>
        <v>rokwzgl=20 i lp=600</v>
      </c>
      <c r="Z68" s="28" t="str">
        <f t="shared" si="18"/>
        <v>rokwzgl=21 i lp=600</v>
      </c>
      <c r="AA68" s="28" t="str">
        <f t="shared" si="18"/>
        <v>rokwzgl=22 i lp=600</v>
      </c>
      <c r="AB68" s="28" t="str">
        <f t="shared" si="18"/>
        <v>rokwzgl=23 i lp=600</v>
      </c>
      <c r="AC68" s="28" t="str">
        <f t="shared" si="18"/>
        <v>rokwzgl=24 i lp=600</v>
      </c>
      <c r="AD68" s="28" t="str">
        <f t="shared" si="18"/>
        <v>rokwzgl=25 i lp=600</v>
      </c>
      <c r="AE68" s="28" t="str">
        <f t="shared" si="18"/>
        <v>rokwzgl=26 i lp=600</v>
      </c>
      <c r="AF68" s="28" t="str">
        <f t="shared" si="18"/>
        <v>rokwzgl=27 i lp=600</v>
      </c>
      <c r="AG68" s="28" t="str">
        <f t="shared" si="18"/>
        <v>rokwzgl=28 i lp=600</v>
      </c>
      <c r="AH68" s="28" t="str">
        <f t="shared" si="18"/>
        <v>rokwzgl=29 i lp=600</v>
      </c>
    </row>
    <row r="69" spans="1:34">
      <c r="A69" s="27">
        <v>610</v>
      </c>
      <c r="B69" s="27" t="s">
        <v>90</v>
      </c>
      <c r="C69" s="28" t="s">
        <v>91</v>
      </c>
      <c r="D69" s="28" t="str">
        <f t="shared" si="16"/>
        <v>rokwzgl=0 i lp=610</v>
      </c>
      <c r="E69" s="28" t="str">
        <f t="shared" si="16"/>
        <v>rokwzgl=0 i lp=610</v>
      </c>
      <c r="F69" s="28" t="str">
        <f t="shared" si="16"/>
        <v>rokwzgl=1 i lp=610</v>
      </c>
      <c r="G69" s="28" t="str">
        <f t="shared" si="16"/>
        <v>rokwzgl=2 i lp=610</v>
      </c>
      <c r="H69" s="28" t="str">
        <f t="shared" si="16"/>
        <v>rokwzgl=3 i lp=610</v>
      </c>
      <c r="I69" s="28" t="str">
        <f t="shared" si="16"/>
        <v>rokwzgl=4 i lp=610</v>
      </c>
      <c r="J69" s="28" t="str">
        <f t="shared" si="16"/>
        <v>rokwzgl=5 i lp=610</v>
      </c>
      <c r="K69" s="28" t="str">
        <f t="shared" si="16"/>
        <v>rokwzgl=6 i lp=610</v>
      </c>
      <c r="L69" s="28" t="str">
        <f t="shared" si="16"/>
        <v>rokwzgl=7 i lp=610</v>
      </c>
      <c r="M69" s="28" t="str">
        <f t="shared" si="16"/>
        <v>rokwzgl=8 i lp=610</v>
      </c>
      <c r="N69" s="28" t="str">
        <f t="shared" si="17"/>
        <v>rokwzgl=9 i lp=610</v>
      </c>
      <c r="O69" s="28" t="str">
        <f t="shared" si="17"/>
        <v>rokwzgl=10 i lp=610</v>
      </c>
      <c r="P69" s="28" t="str">
        <f t="shared" si="17"/>
        <v>rokwzgl=11 i lp=610</v>
      </c>
      <c r="Q69" s="28" t="str">
        <f t="shared" si="17"/>
        <v>rokwzgl=12 i lp=610</v>
      </c>
      <c r="R69" s="28" t="str">
        <f t="shared" si="17"/>
        <v>rokwzgl=13 i lp=610</v>
      </c>
      <c r="S69" s="28" t="str">
        <f t="shared" si="17"/>
        <v>rokwzgl=14 i lp=610</v>
      </c>
      <c r="T69" s="28" t="str">
        <f t="shared" si="17"/>
        <v>rokwzgl=15 i lp=610</v>
      </c>
      <c r="U69" s="28" t="str">
        <f t="shared" si="17"/>
        <v>rokwzgl=16 i lp=610</v>
      </c>
      <c r="V69" s="28" t="str">
        <f t="shared" si="17"/>
        <v>rokwzgl=17 i lp=610</v>
      </c>
      <c r="W69" s="28" t="str">
        <f t="shared" si="17"/>
        <v>rokwzgl=18 i lp=610</v>
      </c>
      <c r="X69" s="28" t="str">
        <f t="shared" si="18"/>
        <v>rokwzgl=19 i lp=610</v>
      </c>
      <c r="Y69" s="28" t="str">
        <f t="shared" si="18"/>
        <v>rokwzgl=20 i lp=610</v>
      </c>
      <c r="Z69" s="28" t="str">
        <f t="shared" si="18"/>
        <v>rokwzgl=21 i lp=610</v>
      </c>
      <c r="AA69" s="28" t="str">
        <f t="shared" si="18"/>
        <v>rokwzgl=22 i lp=610</v>
      </c>
      <c r="AB69" s="28" t="str">
        <f t="shared" si="18"/>
        <v>rokwzgl=23 i lp=610</v>
      </c>
      <c r="AC69" s="28" t="str">
        <f t="shared" si="18"/>
        <v>rokwzgl=24 i lp=610</v>
      </c>
      <c r="AD69" s="28" t="str">
        <f t="shared" si="18"/>
        <v>rokwzgl=25 i lp=610</v>
      </c>
      <c r="AE69" s="28" t="str">
        <f t="shared" si="18"/>
        <v>rokwzgl=26 i lp=610</v>
      </c>
      <c r="AF69" s="28" t="str">
        <f t="shared" si="18"/>
        <v>rokwzgl=27 i lp=610</v>
      </c>
      <c r="AG69" s="28" t="str">
        <f t="shared" si="18"/>
        <v>rokwzgl=28 i lp=610</v>
      </c>
      <c r="AH69" s="28" t="str">
        <f t="shared" si="18"/>
        <v>rokwzgl=29 i lp=610</v>
      </c>
    </row>
    <row r="70" spans="1:34">
      <c r="A70" s="27">
        <v>620</v>
      </c>
      <c r="B70" s="27" t="s">
        <v>92</v>
      </c>
      <c r="C70" s="28" t="s">
        <v>93</v>
      </c>
      <c r="D70" s="28" t="str">
        <f t="shared" si="16"/>
        <v>rokwzgl=0 i lp=620</v>
      </c>
      <c r="E70" s="28" t="str">
        <f t="shared" si="16"/>
        <v>rokwzgl=0 i lp=620</v>
      </c>
      <c r="F70" s="28" t="str">
        <f t="shared" si="16"/>
        <v>rokwzgl=1 i lp=620</v>
      </c>
      <c r="G70" s="28" t="str">
        <f t="shared" si="16"/>
        <v>rokwzgl=2 i lp=620</v>
      </c>
      <c r="H70" s="28" t="str">
        <f t="shared" si="16"/>
        <v>rokwzgl=3 i lp=620</v>
      </c>
      <c r="I70" s="28" t="str">
        <f t="shared" si="16"/>
        <v>rokwzgl=4 i lp=620</v>
      </c>
      <c r="J70" s="28" t="str">
        <f t="shared" si="16"/>
        <v>rokwzgl=5 i lp=620</v>
      </c>
      <c r="K70" s="28" t="str">
        <f t="shared" si="16"/>
        <v>rokwzgl=6 i lp=620</v>
      </c>
      <c r="L70" s="28" t="str">
        <f t="shared" si="16"/>
        <v>rokwzgl=7 i lp=620</v>
      </c>
      <c r="M70" s="28" t="str">
        <f t="shared" si="16"/>
        <v>rokwzgl=8 i lp=620</v>
      </c>
      <c r="N70" s="28" t="str">
        <f t="shared" si="17"/>
        <v>rokwzgl=9 i lp=620</v>
      </c>
      <c r="O70" s="28" t="str">
        <f t="shared" si="17"/>
        <v>rokwzgl=10 i lp=620</v>
      </c>
      <c r="P70" s="28" t="str">
        <f t="shared" si="17"/>
        <v>rokwzgl=11 i lp=620</v>
      </c>
      <c r="Q70" s="28" t="str">
        <f t="shared" si="17"/>
        <v>rokwzgl=12 i lp=620</v>
      </c>
      <c r="R70" s="28" t="str">
        <f t="shared" si="17"/>
        <v>rokwzgl=13 i lp=620</v>
      </c>
      <c r="S70" s="28" t="str">
        <f t="shared" si="17"/>
        <v>rokwzgl=14 i lp=620</v>
      </c>
      <c r="T70" s="28" t="str">
        <f t="shared" si="17"/>
        <v>rokwzgl=15 i lp=620</v>
      </c>
      <c r="U70" s="28" t="str">
        <f t="shared" si="17"/>
        <v>rokwzgl=16 i lp=620</v>
      </c>
      <c r="V70" s="28" t="str">
        <f t="shared" si="17"/>
        <v>rokwzgl=17 i lp=620</v>
      </c>
      <c r="W70" s="28" t="str">
        <f t="shared" si="17"/>
        <v>rokwzgl=18 i lp=620</v>
      </c>
      <c r="X70" s="28" t="str">
        <f t="shared" si="18"/>
        <v>rokwzgl=19 i lp=620</v>
      </c>
      <c r="Y70" s="28" t="str">
        <f t="shared" si="18"/>
        <v>rokwzgl=20 i lp=620</v>
      </c>
      <c r="Z70" s="28" t="str">
        <f t="shared" si="18"/>
        <v>rokwzgl=21 i lp=620</v>
      </c>
      <c r="AA70" s="28" t="str">
        <f t="shared" si="18"/>
        <v>rokwzgl=22 i lp=620</v>
      </c>
      <c r="AB70" s="28" t="str">
        <f t="shared" si="18"/>
        <v>rokwzgl=23 i lp=620</v>
      </c>
      <c r="AC70" s="28" t="str">
        <f t="shared" si="18"/>
        <v>rokwzgl=24 i lp=620</v>
      </c>
      <c r="AD70" s="28" t="str">
        <f t="shared" si="18"/>
        <v>rokwzgl=25 i lp=620</v>
      </c>
      <c r="AE70" s="28" t="str">
        <f t="shared" si="18"/>
        <v>rokwzgl=26 i lp=620</v>
      </c>
      <c r="AF70" s="28" t="str">
        <f t="shared" si="18"/>
        <v>rokwzgl=27 i lp=620</v>
      </c>
      <c r="AG70" s="28" t="str">
        <f t="shared" si="18"/>
        <v>rokwzgl=28 i lp=620</v>
      </c>
      <c r="AH70" s="28" t="str">
        <f t="shared" si="18"/>
        <v>rokwzgl=29 i lp=620</v>
      </c>
    </row>
    <row r="71" spans="1:34">
      <c r="A71" s="27">
        <v>630</v>
      </c>
      <c r="B71" s="27" t="s">
        <v>161</v>
      </c>
      <c r="C71" s="28" t="s">
        <v>94</v>
      </c>
      <c r="D71" s="28" t="str">
        <f t="shared" si="16"/>
        <v>rokwzgl=0 i lp=630</v>
      </c>
      <c r="E71" s="28" t="str">
        <f t="shared" si="16"/>
        <v>rokwzgl=0 i lp=630</v>
      </c>
      <c r="F71" s="28" t="str">
        <f t="shared" si="16"/>
        <v>rokwzgl=1 i lp=630</v>
      </c>
      <c r="G71" s="28" t="str">
        <f t="shared" si="16"/>
        <v>rokwzgl=2 i lp=630</v>
      </c>
      <c r="H71" s="28" t="str">
        <f t="shared" si="16"/>
        <v>rokwzgl=3 i lp=630</v>
      </c>
      <c r="I71" s="28" t="str">
        <f t="shared" si="16"/>
        <v>rokwzgl=4 i lp=630</v>
      </c>
      <c r="J71" s="28" t="str">
        <f t="shared" si="16"/>
        <v>rokwzgl=5 i lp=630</v>
      </c>
      <c r="K71" s="28" t="str">
        <f t="shared" si="16"/>
        <v>rokwzgl=6 i lp=630</v>
      </c>
      <c r="L71" s="28" t="str">
        <f t="shared" si="16"/>
        <v>rokwzgl=7 i lp=630</v>
      </c>
      <c r="M71" s="28" t="str">
        <f t="shared" si="16"/>
        <v>rokwzgl=8 i lp=630</v>
      </c>
      <c r="N71" s="28" t="str">
        <f t="shared" si="17"/>
        <v>rokwzgl=9 i lp=630</v>
      </c>
      <c r="O71" s="28" t="str">
        <f t="shared" si="17"/>
        <v>rokwzgl=10 i lp=630</v>
      </c>
      <c r="P71" s="28" t="str">
        <f t="shared" si="17"/>
        <v>rokwzgl=11 i lp=630</v>
      </c>
      <c r="Q71" s="28" t="str">
        <f t="shared" si="17"/>
        <v>rokwzgl=12 i lp=630</v>
      </c>
      <c r="R71" s="28" t="str">
        <f t="shared" si="17"/>
        <v>rokwzgl=13 i lp=630</v>
      </c>
      <c r="S71" s="28" t="str">
        <f t="shared" si="17"/>
        <v>rokwzgl=14 i lp=630</v>
      </c>
      <c r="T71" s="28" t="str">
        <f t="shared" si="17"/>
        <v>rokwzgl=15 i lp=630</v>
      </c>
      <c r="U71" s="28" t="str">
        <f t="shared" si="17"/>
        <v>rokwzgl=16 i lp=630</v>
      </c>
      <c r="V71" s="28" t="str">
        <f t="shared" si="17"/>
        <v>rokwzgl=17 i lp=630</v>
      </c>
      <c r="W71" s="28" t="str">
        <f t="shared" si="17"/>
        <v>rokwzgl=18 i lp=630</v>
      </c>
      <c r="X71" s="28" t="str">
        <f t="shared" si="18"/>
        <v>rokwzgl=19 i lp=630</v>
      </c>
      <c r="Y71" s="28" t="str">
        <f t="shared" si="18"/>
        <v>rokwzgl=20 i lp=630</v>
      </c>
      <c r="Z71" s="28" t="str">
        <f t="shared" si="18"/>
        <v>rokwzgl=21 i lp=630</v>
      </c>
      <c r="AA71" s="28" t="str">
        <f t="shared" si="18"/>
        <v>rokwzgl=22 i lp=630</v>
      </c>
      <c r="AB71" s="28" t="str">
        <f t="shared" si="18"/>
        <v>rokwzgl=23 i lp=630</v>
      </c>
      <c r="AC71" s="28" t="str">
        <f t="shared" si="18"/>
        <v>rokwzgl=24 i lp=630</v>
      </c>
      <c r="AD71" s="28" t="str">
        <f t="shared" si="18"/>
        <v>rokwzgl=25 i lp=630</v>
      </c>
      <c r="AE71" s="28" t="str">
        <f t="shared" si="18"/>
        <v>rokwzgl=26 i lp=630</v>
      </c>
      <c r="AF71" s="28" t="str">
        <f t="shared" si="18"/>
        <v>rokwzgl=27 i lp=630</v>
      </c>
      <c r="AG71" s="28" t="str">
        <f t="shared" si="18"/>
        <v>rokwzgl=28 i lp=630</v>
      </c>
      <c r="AH71" s="28" t="str">
        <f t="shared" si="18"/>
        <v>rokwzgl=29 i lp=630</v>
      </c>
    </row>
    <row r="72" spans="1:34">
      <c r="A72" s="27">
        <v>640</v>
      </c>
      <c r="B72" s="27" t="s">
        <v>162</v>
      </c>
      <c r="C72" s="28" t="s">
        <v>95</v>
      </c>
      <c r="D72" s="28" t="str">
        <f t="shared" si="16"/>
        <v>rokwzgl=0 i lp=640</v>
      </c>
      <c r="E72" s="28" t="str">
        <f t="shared" si="16"/>
        <v>rokwzgl=0 i lp=640</v>
      </c>
      <c r="F72" s="28" t="str">
        <f t="shared" si="16"/>
        <v>rokwzgl=1 i lp=640</v>
      </c>
      <c r="G72" s="28" t="str">
        <f t="shared" si="16"/>
        <v>rokwzgl=2 i lp=640</v>
      </c>
      <c r="H72" s="28" t="str">
        <f t="shared" si="16"/>
        <v>rokwzgl=3 i lp=640</v>
      </c>
      <c r="I72" s="28" t="str">
        <f t="shared" si="16"/>
        <v>rokwzgl=4 i lp=640</v>
      </c>
      <c r="J72" s="28" t="str">
        <f t="shared" si="16"/>
        <v>rokwzgl=5 i lp=640</v>
      </c>
      <c r="K72" s="28" t="str">
        <f t="shared" si="16"/>
        <v>rokwzgl=6 i lp=640</v>
      </c>
      <c r="L72" s="28" t="str">
        <f t="shared" si="16"/>
        <v>rokwzgl=7 i lp=640</v>
      </c>
      <c r="M72" s="28" t="str">
        <f t="shared" si="16"/>
        <v>rokwzgl=8 i lp=640</v>
      </c>
      <c r="N72" s="28" t="str">
        <f t="shared" si="17"/>
        <v>rokwzgl=9 i lp=640</v>
      </c>
      <c r="O72" s="28" t="str">
        <f t="shared" si="17"/>
        <v>rokwzgl=10 i lp=640</v>
      </c>
      <c r="P72" s="28" t="str">
        <f t="shared" si="17"/>
        <v>rokwzgl=11 i lp=640</v>
      </c>
      <c r="Q72" s="28" t="str">
        <f t="shared" si="17"/>
        <v>rokwzgl=12 i lp=640</v>
      </c>
      <c r="R72" s="28" t="str">
        <f t="shared" si="17"/>
        <v>rokwzgl=13 i lp=640</v>
      </c>
      <c r="S72" s="28" t="str">
        <f t="shared" si="17"/>
        <v>rokwzgl=14 i lp=640</v>
      </c>
      <c r="T72" s="28" t="str">
        <f t="shared" si="17"/>
        <v>rokwzgl=15 i lp=640</v>
      </c>
      <c r="U72" s="28" t="str">
        <f t="shared" si="17"/>
        <v>rokwzgl=16 i lp=640</v>
      </c>
      <c r="V72" s="28" t="str">
        <f t="shared" si="17"/>
        <v>rokwzgl=17 i lp=640</v>
      </c>
      <c r="W72" s="28" t="str">
        <f t="shared" si="17"/>
        <v>rokwzgl=18 i lp=640</v>
      </c>
      <c r="X72" s="28" t="str">
        <f t="shared" si="18"/>
        <v>rokwzgl=19 i lp=640</v>
      </c>
      <c r="Y72" s="28" t="str">
        <f t="shared" si="18"/>
        <v>rokwzgl=20 i lp=640</v>
      </c>
      <c r="Z72" s="28" t="str">
        <f t="shared" si="18"/>
        <v>rokwzgl=21 i lp=640</v>
      </c>
      <c r="AA72" s="28" t="str">
        <f t="shared" si="18"/>
        <v>rokwzgl=22 i lp=640</v>
      </c>
      <c r="AB72" s="28" t="str">
        <f t="shared" si="18"/>
        <v>rokwzgl=23 i lp=640</v>
      </c>
      <c r="AC72" s="28" t="str">
        <f t="shared" si="18"/>
        <v>rokwzgl=24 i lp=640</v>
      </c>
      <c r="AD72" s="28" t="str">
        <f t="shared" si="18"/>
        <v>rokwzgl=25 i lp=640</v>
      </c>
      <c r="AE72" s="28" t="str">
        <f t="shared" si="18"/>
        <v>rokwzgl=26 i lp=640</v>
      </c>
      <c r="AF72" s="28" t="str">
        <f t="shared" si="18"/>
        <v>rokwzgl=27 i lp=640</v>
      </c>
      <c r="AG72" s="28" t="str">
        <f t="shared" si="18"/>
        <v>rokwzgl=28 i lp=640</v>
      </c>
      <c r="AH72" s="28" t="str">
        <f t="shared" si="18"/>
        <v>rokwzgl=29 i lp=640</v>
      </c>
    </row>
    <row r="73" spans="1:34">
      <c r="A73" s="27">
        <v>650</v>
      </c>
      <c r="B73" s="27" t="s">
        <v>163</v>
      </c>
      <c r="C73" s="28" t="s">
        <v>96</v>
      </c>
      <c r="D73" s="28" t="str">
        <f t="shared" si="16"/>
        <v>rokwzgl=0 i lp=650</v>
      </c>
      <c r="E73" s="28" t="str">
        <f t="shared" si="16"/>
        <v>rokwzgl=0 i lp=650</v>
      </c>
      <c r="F73" s="28" t="str">
        <f t="shared" si="16"/>
        <v>rokwzgl=1 i lp=650</v>
      </c>
      <c r="G73" s="28" t="str">
        <f t="shared" si="16"/>
        <v>rokwzgl=2 i lp=650</v>
      </c>
      <c r="H73" s="28" t="str">
        <f t="shared" si="16"/>
        <v>rokwzgl=3 i lp=650</v>
      </c>
      <c r="I73" s="28" t="str">
        <f t="shared" si="16"/>
        <v>rokwzgl=4 i lp=650</v>
      </c>
      <c r="J73" s="28" t="str">
        <f t="shared" si="16"/>
        <v>rokwzgl=5 i lp=650</v>
      </c>
      <c r="K73" s="28" t="str">
        <f t="shared" si="16"/>
        <v>rokwzgl=6 i lp=650</v>
      </c>
      <c r="L73" s="28" t="str">
        <f t="shared" si="16"/>
        <v>rokwzgl=7 i lp=650</v>
      </c>
      <c r="M73" s="28" t="str">
        <f t="shared" si="16"/>
        <v>rokwzgl=8 i lp=650</v>
      </c>
      <c r="N73" s="28" t="str">
        <f t="shared" si="17"/>
        <v>rokwzgl=9 i lp=650</v>
      </c>
      <c r="O73" s="28" t="str">
        <f t="shared" si="17"/>
        <v>rokwzgl=10 i lp=650</v>
      </c>
      <c r="P73" s="28" t="str">
        <f t="shared" si="17"/>
        <v>rokwzgl=11 i lp=650</v>
      </c>
      <c r="Q73" s="28" t="str">
        <f t="shared" si="17"/>
        <v>rokwzgl=12 i lp=650</v>
      </c>
      <c r="R73" s="28" t="str">
        <f t="shared" si="17"/>
        <v>rokwzgl=13 i lp=650</v>
      </c>
      <c r="S73" s="28" t="str">
        <f t="shared" si="17"/>
        <v>rokwzgl=14 i lp=650</v>
      </c>
      <c r="T73" s="28" t="str">
        <f t="shared" si="17"/>
        <v>rokwzgl=15 i lp=650</v>
      </c>
      <c r="U73" s="28" t="str">
        <f t="shared" si="17"/>
        <v>rokwzgl=16 i lp=650</v>
      </c>
      <c r="V73" s="28" t="str">
        <f t="shared" si="17"/>
        <v>rokwzgl=17 i lp=650</v>
      </c>
      <c r="W73" s="28" t="str">
        <f t="shared" si="17"/>
        <v>rokwzgl=18 i lp=650</v>
      </c>
      <c r="X73" s="28" t="str">
        <f t="shared" si="18"/>
        <v>rokwzgl=19 i lp=650</v>
      </c>
      <c r="Y73" s="28" t="str">
        <f t="shared" si="18"/>
        <v>rokwzgl=20 i lp=650</v>
      </c>
      <c r="Z73" s="28" t="str">
        <f t="shared" si="18"/>
        <v>rokwzgl=21 i lp=650</v>
      </c>
      <c r="AA73" s="28" t="str">
        <f t="shared" si="18"/>
        <v>rokwzgl=22 i lp=650</v>
      </c>
      <c r="AB73" s="28" t="str">
        <f t="shared" si="18"/>
        <v>rokwzgl=23 i lp=650</v>
      </c>
      <c r="AC73" s="28" t="str">
        <f t="shared" si="18"/>
        <v>rokwzgl=24 i lp=650</v>
      </c>
      <c r="AD73" s="28" t="str">
        <f t="shared" si="18"/>
        <v>rokwzgl=25 i lp=650</v>
      </c>
      <c r="AE73" s="28" t="str">
        <f t="shared" si="18"/>
        <v>rokwzgl=26 i lp=650</v>
      </c>
      <c r="AF73" s="28" t="str">
        <f t="shared" si="18"/>
        <v>rokwzgl=27 i lp=650</v>
      </c>
      <c r="AG73" s="28" t="str">
        <f t="shared" si="18"/>
        <v>rokwzgl=28 i lp=650</v>
      </c>
      <c r="AH73" s="28" t="str">
        <f t="shared" si="18"/>
        <v>rokwzgl=29 i lp=650</v>
      </c>
    </row>
    <row r="74" spans="1:34">
      <c r="A74" s="27">
        <v>660</v>
      </c>
      <c r="B74" s="27">
        <v>12</v>
      </c>
      <c r="C74" s="28" t="s">
        <v>97</v>
      </c>
      <c r="D74" s="28" t="str">
        <f t="shared" si="16"/>
        <v>rokwzgl=0 i lp=660</v>
      </c>
      <c r="E74" s="28" t="str">
        <f t="shared" si="16"/>
        <v>rokwzgl=0 i lp=660</v>
      </c>
      <c r="F74" s="28" t="str">
        <f t="shared" si="16"/>
        <v>rokwzgl=1 i lp=660</v>
      </c>
      <c r="G74" s="28" t="str">
        <f t="shared" si="16"/>
        <v>rokwzgl=2 i lp=660</v>
      </c>
      <c r="H74" s="28" t="str">
        <f t="shared" si="16"/>
        <v>rokwzgl=3 i lp=660</v>
      </c>
      <c r="I74" s="28" t="str">
        <f t="shared" si="16"/>
        <v>rokwzgl=4 i lp=660</v>
      </c>
      <c r="J74" s="28" t="str">
        <f t="shared" si="16"/>
        <v>rokwzgl=5 i lp=660</v>
      </c>
      <c r="K74" s="28" t="str">
        <f t="shared" si="16"/>
        <v>rokwzgl=6 i lp=660</v>
      </c>
      <c r="L74" s="28" t="str">
        <f t="shared" si="16"/>
        <v>rokwzgl=7 i lp=660</v>
      </c>
      <c r="M74" s="28" t="str">
        <f t="shared" si="16"/>
        <v>rokwzgl=8 i lp=660</v>
      </c>
      <c r="N74" s="28" t="str">
        <f t="shared" si="17"/>
        <v>rokwzgl=9 i lp=660</v>
      </c>
      <c r="O74" s="28" t="str">
        <f t="shared" si="17"/>
        <v>rokwzgl=10 i lp=660</v>
      </c>
      <c r="P74" s="28" t="str">
        <f t="shared" si="17"/>
        <v>rokwzgl=11 i lp=660</v>
      </c>
      <c r="Q74" s="28" t="str">
        <f t="shared" si="17"/>
        <v>rokwzgl=12 i lp=660</v>
      </c>
      <c r="R74" s="28" t="str">
        <f t="shared" si="17"/>
        <v>rokwzgl=13 i lp=660</v>
      </c>
      <c r="S74" s="28" t="str">
        <f t="shared" si="17"/>
        <v>rokwzgl=14 i lp=660</v>
      </c>
      <c r="T74" s="28" t="str">
        <f t="shared" si="17"/>
        <v>rokwzgl=15 i lp=660</v>
      </c>
      <c r="U74" s="28" t="str">
        <f t="shared" si="17"/>
        <v>rokwzgl=16 i lp=660</v>
      </c>
      <c r="V74" s="28" t="str">
        <f t="shared" si="17"/>
        <v>rokwzgl=17 i lp=660</v>
      </c>
      <c r="W74" s="28" t="str">
        <f t="shared" si="17"/>
        <v>rokwzgl=18 i lp=660</v>
      </c>
      <c r="X74" s="28" t="str">
        <f t="shared" si="18"/>
        <v>rokwzgl=19 i lp=660</v>
      </c>
      <c r="Y74" s="28" t="str">
        <f t="shared" si="18"/>
        <v>rokwzgl=20 i lp=660</v>
      </c>
      <c r="Z74" s="28" t="str">
        <f t="shared" si="18"/>
        <v>rokwzgl=21 i lp=660</v>
      </c>
      <c r="AA74" s="28" t="str">
        <f t="shared" si="18"/>
        <v>rokwzgl=22 i lp=660</v>
      </c>
      <c r="AB74" s="28" t="str">
        <f t="shared" si="18"/>
        <v>rokwzgl=23 i lp=660</v>
      </c>
      <c r="AC74" s="28" t="str">
        <f t="shared" si="18"/>
        <v>rokwzgl=24 i lp=660</v>
      </c>
      <c r="AD74" s="28" t="str">
        <f t="shared" si="18"/>
        <v>rokwzgl=25 i lp=660</v>
      </c>
      <c r="AE74" s="28" t="str">
        <f t="shared" si="18"/>
        <v>rokwzgl=26 i lp=660</v>
      </c>
      <c r="AF74" s="28" t="str">
        <f t="shared" si="18"/>
        <v>rokwzgl=27 i lp=660</v>
      </c>
      <c r="AG74" s="28" t="str">
        <f t="shared" si="18"/>
        <v>rokwzgl=28 i lp=660</v>
      </c>
      <c r="AH74" s="28" t="str">
        <f t="shared" si="18"/>
        <v>rokwzgl=29 i lp=660</v>
      </c>
    </row>
    <row r="75" spans="1:34">
      <c r="A75" s="27">
        <v>670</v>
      </c>
      <c r="B75" s="27" t="s">
        <v>164</v>
      </c>
      <c r="C75" s="28" t="s">
        <v>98</v>
      </c>
      <c r="D75" s="28" t="str">
        <f t="shared" si="16"/>
        <v>rokwzgl=0 i lp=670</v>
      </c>
      <c r="E75" s="28" t="str">
        <f t="shared" si="16"/>
        <v>rokwzgl=0 i lp=670</v>
      </c>
      <c r="F75" s="28" t="str">
        <f t="shared" si="16"/>
        <v>rokwzgl=1 i lp=670</v>
      </c>
      <c r="G75" s="28" t="str">
        <f t="shared" si="16"/>
        <v>rokwzgl=2 i lp=670</v>
      </c>
      <c r="H75" s="28" t="str">
        <f t="shared" si="16"/>
        <v>rokwzgl=3 i lp=670</v>
      </c>
      <c r="I75" s="28" t="str">
        <f t="shared" si="16"/>
        <v>rokwzgl=4 i lp=670</v>
      </c>
      <c r="J75" s="28" t="str">
        <f t="shared" si="16"/>
        <v>rokwzgl=5 i lp=670</v>
      </c>
      <c r="K75" s="28" t="str">
        <f t="shared" si="16"/>
        <v>rokwzgl=6 i lp=670</v>
      </c>
      <c r="L75" s="28" t="str">
        <f t="shared" si="16"/>
        <v>rokwzgl=7 i lp=670</v>
      </c>
      <c r="M75" s="28" t="str">
        <f t="shared" si="16"/>
        <v>rokwzgl=8 i lp=670</v>
      </c>
      <c r="N75" s="28" t="str">
        <f t="shared" si="17"/>
        <v>rokwzgl=9 i lp=670</v>
      </c>
      <c r="O75" s="28" t="str">
        <f t="shared" si="17"/>
        <v>rokwzgl=10 i lp=670</v>
      </c>
      <c r="P75" s="28" t="str">
        <f t="shared" si="17"/>
        <v>rokwzgl=11 i lp=670</v>
      </c>
      <c r="Q75" s="28" t="str">
        <f t="shared" si="17"/>
        <v>rokwzgl=12 i lp=670</v>
      </c>
      <c r="R75" s="28" t="str">
        <f t="shared" si="17"/>
        <v>rokwzgl=13 i lp=670</v>
      </c>
      <c r="S75" s="28" t="str">
        <f t="shared" si="17"/>
        <v>rokwzgl=14 i lp=670</v>
      </c>
      <c r="T75" s="28" t="str">
        <f t="shared" si="17"/>
        <v>rokwzgl=15 i lp=670</v>
      </c>
      <c r="U75" s="28" t="str">
        <f t="shared" si="17"/>
        <v>rokwzgl=16 i lp=670</v>
      </c>
      <c r="V75" s="28" t="str">
        <f t="shared" si="17"/>
        <v>rokwzgl=17 i lp=670</v>
      </c>
      <c r="W75" s="28" t="str">
        <f t="shared" si="17"/>
        <v>rokwzgl=18 i lp=670</v>
      </c>
      <c r="X75" s="28" t="str">
        <f t="shared" si="18"/>
        <v>rokwzgl=19 i lp=670</v>
      </c>
      <c r="Y75" s="28" t="str">
        <f t="shared" si="18"/>
        <v>rokwzgl=20 i lp=670</v>
      </c>
      <c r="Z75" s="28" t="str">
        <f t="shared" si="18"/>
        <v>rokwzgl=21 i lp=670</v>
      </c>
      <c r="AA75" s="28" t="str">
        <f t="shared" si="18"/>
        <v>rokwzgl=22 i lp=670</v>
      </c>
      <c r="AB75" s="28" t="str">
        <f t="shared" si="18"/>
        <v>rokwzgl=23 i lp=670</v>
      </c>
      <c r="AC75" s="28" t="str">
        <f t="shared" si="18"/>
        <v>rokwzgl=24 i lp=670</v>
      </c>
      <c r="AD75" s="28" t="str">
        <f t="shared" si="18"/>
        <v>rokwzgl=25 i lp=670</v>
      </c>
      <c r="AE75" s="28" t="str">
        <f t="shared" si="18"/>
        <v>rokwzgl=26 i lp=670</v>
      </c>
      <c r="AF75" s="28" t="str">
        <f t="shared" si="18"/>
        <v>rokwzgl=27 i lp=670</v>
      </c>
      <c r="AG75" s="28" t="str">
        <f t="shared" si="18"/>
        <v>rokwzgl=28 i lp=670</v>
      </c>
      <c r="AH75" s="28" t="str">
        <f t="shared" si="18"/>
        <v>rokwzgl=29 i lp=670</v>
      </c>
    </row>
    <row r="76" spans="1:34">
      <c r="A76" s="27">
        <v>680</v>
      </c>
      <c r="B76" s="27" t="s">
        <v>99</v>
      </c>
      <c r="C76" s="28" t="s">
        <v>100</v>
      </c>
      <c r="D76" s="28" t="str">
        <f t="shared" ref="D76:AG76" si="19">+"rokwzgl="&amp;D$9&amp;" i lp="&amp;$A76</f>
        <v>rokwzgl=0 i lp=680</v>
      </c>
      <c r="E76" s="28" t="str">
        <f t="shared" si="19"/>
        <v>rokwzgl=0 i lp=680</v>
      </c>
      <c r="F76" s="28" t="str">
        <f t="shared" si="19"/>
        <v>rokwzgl=1 i lp=680</v>
      </c>
      <c r="G76" s="28" t="str">
        <f t="shared" si="19"/>
        <v>rokwzgl=2 i lp=680</v>
      </c>
      <c r="H76" s="28" t="str">
        <f t="shared" si="19"/>
        <v>rokwzgl=3 i lp=680</v>
      </c>
      <c r="I76" s="28" t="str">
        <f t="shared" si="19"/>
        <v>rokwzgl=4 i lp=680</v>
      </c>
      <c r="J76" s="28" t="str">
        <f t="shared" si="19"/>
        <v>rokwzgl=5 i lp=680</v>
      </c>
      <c r="K76" s="28" t="str">
        <f t="shared" si="19"/>
        <v>rokwzgl=6 i lp=680</v>
      </c>
      <c r="L76" s="28" t="str">
        <f t="shared" si="19"/>
        <v>rokwzgl=7 i lp=680</v>
      </c>
      <c r="M76" s="28" t="str">
        <f t="shared" si="19"/>
        <v>rokwzgl=8 i lp=680</v>
      </c>
      <c r="N76" s="28" t="str">
        <f t="shared" si="19"/>
        <v>rokwzgl=9 i lp=680</v>
      </c>
      <c r="O76" s="28" t="str">
        <f t="shared" si="19"/>
        <v>rokwzgl=10 i lp=680</v>
      </c>
      <c r="P76" s="28" t="str">
        <f t="shared" si="19"/>
        <v>rokwzgl=11 i lp=680</v>
      </c>
      <c r="Q76" s="28" t="str">
        <f t="shared" si="19"/>
        <v>rokwzgl=12 i lp=680</v>
      </c>
      <c r="R76" s="28" t="str">
        <f t="shared" si="19"/>
        <v>rokwzgl=13 i lp=680</v>
      </c>
      <c r="S76" s="28" t="str">
        <f t="shared" si="19"/>
        <v>rokwzgl=14 i lp=680</v>
      </c>
      <c r="T76" s="28" t="str">
        <f t="shared" si="19"/>
        <v>rokwzgl=15 i lp=680</v>
      </c>
      <c r="U76" s="28" t="str">
        <f t="shared" si="19"/>
        <v>rokwzgl=16 i lp=680</v>
      </c>
      <c r="V76" s="28" t="str">
        <f t="shared" si="19"/>
        <v>rokwzgl=17 i lp=680</v>
      </c>
      <c r="W76" s="28" t="str">
        <f t="shared" si="19"/>
        <v>rokwzgl=18 i lp=680</v>
      </c>
      <c r="X76" s="28" t="str">
        <f t="shared" si="19"/>
        <v>rokwzgl=19 i lp=680</v>
      </c>
      <c r="Y76" s="28" t="str">
        <f t="shared" si="19"/>
        <v>rokwzgl=20 i lp=680</v>
      </c>
      <c r="Z76" s="28" t="str">
        <f t="shared" si="19"/>
        <v>rokwzgl=21 i lp=680</v>
      </c>
      <c r="AA76" s="28" t="str">
        <f t="shared" si="19"/>
        <v>rokwzgl=22 i lp=680</v>
      </c>
      <c r="AB76" s="28" t="str">
        <f t="shared" si="19"/>
        <v>rokwzgl=23 i lp=680</v>
      </c>
      <c r="AC76" s="28" t="str">
        <f t="shared" si="19"/>
        <v>rokwzgl=24 i lp=680</v>
      </c>
      <c r="AD76" s="28" t="str">
        <f t="shared" si="19"/>
        <v>rokwzgl=25 i lp=680</v>
      </c>
      <c r="AE76" s="28" t="str">
        <f t="shared" si="19"/>
        <v>rokwzgl=26 i lp=680</v>
      </c>
      <c r="AF76" s="28" t="str">
        <f t="shared" si="19"/>
        <v>rokwzgl=27 i lp=680</v>
      </c>
      <c r="AG76" s="28" t="str">
        <f t="shared" si="19"/>
        <v>rokwzgl=28 i lp=680</v>
      </c>
      <c r="AH76" s="28" t="str">
        <f t="shared" ref="X76:AH100" si="20">+"rokwzgl="&amp;AH$9&amp;" i lp="&amp;$A76</f>
        <v>rokwzgl=29 i lp=680</v>
      </c>
    </row>
    <row r="77" spans="1:34">
      <c r="A77" s="27">
        <v>690</v>
      </c>
      <c r="B77" s="27" t="s">
        <v>101</v>
      </c>
      <c r="C77" s="28" t="s">
        <v>102</v>
      </c>
      <c r="D77" s="28" t="str">
        <f>+"rokwzgl="&amp;D$9&amp;" i lp="&amp;$A77</f>
        <v>rokwzgl=0 i lp=690</v>
      </c>
      <c r="E77" s="28" t="str">
        <f>+"rokwzgl="&amp;E$9&amp;" i lp="&amp;$A77</f>
        <v>rokwzgl=0 i lp=690</v>
      </c>
      <c r="F77" s="28" t="str">
        <f>+"rokwzgl="&amp;F$9&amp;" i lp="&amp;$A77</f>
        <v>rokwzgl=1 i lp=690</v>
      </c>
      <c r="G77" s="28" t="str">
        <f>+"rokwzgl="&amp;G$9&amp;" i lp="&amp;$A77</f>
        <v>rokwzgl=2 i lp=690</v>
      </c>
      <c r="H77" s="28" t="str">
        <f>+"rokwzgl="&amp;H$9&amp;" i lp="&amp;$A77</f>
        <v>rokwzgl=3 i lp=690</v>
      </c>
      <c r="I77" s="28" t="str">
        <f t="shared" ref="I77:W101" si="21">+"rokwzgl="&amp;I$9&amp;" i lp="&amp;$A77</f>
        <v>rokwzgl=4 i lp=690</v>
      </c>
      <c r="J77" s="28" t="str">
        <f t="shared" si="21"/>
        <v>rokwzgl=5 i lp=690</v>
      </c>
      <c r="K77" s="28" t="str">
        <f t="shared" si="21"/>
        <v>rokwzgl=6 i lp=690</v>
      </c>
      <c r="L77" s="28" t="str">
        <f t="shared" si="21"/>
        <v>rokwzgl=7 i lp=690</v>
      </c>
      <c r="M77" s="28" t="str">
        <f t="shared" si="21"/>
        <v>rokwzgl=8 i lp=690</v>
      </c>
      <c r="N77" s="28" t="str">
        <f t="shared" si="21"/>
        <v>rokwzgl=9 i lp=690</v>
      </c>
      <c r="O77" s="28" t="str">
        <f t="shared" si="21"/>
        <v>rokwzgl=10 i lp=690</v>
      </c>
      <c r="P77" s="28" t="str">
        <f t="shared" si="21"/>
        <v>rokwzgl=11 i lp=690</v>
      </c>
      <c r="Q77" s="28" t="str">
        <f t="shared" si="21"/>
        <v>rokwzgl=12 i lp=690</v>
      </c>
      <c r="R77" s="28" t="str">
        <f t="shared" si="21"/>
        <v>rokwzgl=13 i lp=690</v>
      </c>
      <c r="S77" s="28" t="str">
        <f t="shared" si="21"/>
        <v>rokwzgl=14 i lp=690</v>
      </c>
      <c r="T77" s="28" t="str">
        <f t="shared" si="21"/>
        <v>rokwzgl=15 i lp=690</v>
      </c>
      <c r="U77" s="28" t="str">
        <f t="shared" si="21"/>
        <v>rokwzgl=16 i lp=690</v>
      </c>
      <c r="V77" s="28" t="str">
        <f t="shared" si="21"/>
        <v>rokwzgl=17 i lp=690</v>
      </c>
      <c r="W77" s="28" t="str">
        <f t="shared" si="21"/>
        <v>rokwzgl=18 i lp=690</v>
      </c>
      <c r="X77" s="28" t="str">
        <f t="shared" si="20"/>
        <v>rokwzgl=19 i lp=690</v>
      </c>
      <c r="Y77" s="28" t="str">
        <f t="shared" si="20"/>
        <v>rokwzgl=20 i lp=690</v>
      </c>
      <c r="Z77" s="28" t="str">
        <f t="shared" si="20"/>
        <v>rokwzgl=21 i lp=690</v>
      </c>
      <c r="AA77" s="28" t="str">
        <f t="shared" si="20"/>
        <v>rokwzgl=22 i lp=690</v>
      </c>
      <c r="AB77" s="28" t="str">
        <f t="shared" si="20"/>
        <v>rokwzgl=23 i lp=690</v>
      </c>
      <c r="AC77" s="28" t="str">
        <f t="shared" si="20"/>
        <v>rokwzgl=24 i lp=690</v>
      </c>
      <c r="AD77" s="28" t="str">
        <f t="shared" si="20"/>
        <v>rokwzgl=25 i lp=690</v>
      </c>
      <c r="AE77" s="28" t="str">
        <f t="shared" si="20"/>
        <v>rokwzgl=26 i lp=690</v>
      </c>
      <c r="AF77" s="28" t="str">
        <f t="shared" si="20"/>
        <v>rokwzgl=27 i lp=690</v>
      </c>
      <c r="AG77" s="28" t="str">
        <f t="shared" si="20"/>
        <v>rokwzgl=28 i lp=690</v>
      </c>
      <c r="AH77" s="28" t="str">
        <f t="shared" si="20"/>
        <v>rokwzgl=29 i lp=690</v>
      </c>
    </row>
    <row r="78" spans="1:34">
      <c r="A78" s="27">
        <v>700</v>
      </c>
      <c r="B78" s="27" t="s">
        <v>165</v>
      </c>
      <c r="C78" s="28" t="s">
        <v>103</v>
      </c>
      <c r="D78" s="28" t="str">
        <f t="shared" ref="D78:R102" si="22">+"rokwzgl="&amp;D$9&amp;" i lp="&amp;$A78</f>
        <v>rokwzgl=0 i lp=700</v>
      </c>
      <c r="E78" s="28" t="str">
        <f t="shared" si="22"/>
        <v>rokwzgl=0 i lp=700</v>
      </c>
      <c r="F78" s="28" t="str">
        <f t="shared" si="22"/>
        <v>rokwzgl=1 i lp=700</v>
      </c>
      <c r="G78" s="28" t="str">
        <f t="shared" si="22"/>
        <v>rokwzgl=2 i lp=700</v>
      </c>
      <c r="H78" s="28" t="str">
        <f t="shared" si="22"/>
        <v>rokwzgl=3 i lp=700</v>
      </c>
      <c r="I78" s="28" t="str">
        <f t="shared" si="22"/>
        <v>rokwzgl=4 i lp=700</v>
      </c>
      <c r="J78" s="28" t="str">
        <f t="shared" si="22"/>
        <v>rokwzgl=5 i lp=700</v>
      </c>
      <c r="K78" s="28" t="str">
        <f t="shared" si="22"/>
        <v>rokwzgl=6 i lp=700</v>
      </c>
      <c r="L78" s="28" t="str">
        <f t="shared" si="22"/>
        <v>rokwzgl=7 i lp=700</v>
      </c>
      <c r="M78" s="28" t="str">
        <f t="shared" si="22"/>
        <v>rokwzgl=8 i lp=700</v>
      </c>
      <c r="N78" s="28" t="str">
        <f t="shared" si="21"/>
        <v>rokwzgl=9 i lp=700</v>
      </c>
      <c r="O78" s="28" t="str">
        <f t="shared" si="21"/>
        <v>rokwzgl=10 i lp=700</v>
      </c>
      <c r="P78" s="28" t="str">
        <f t="shared" si="21"/>
        <v>rokwzgl=11 i lp=700</v>
      </c>
      <c r="Q78" s="28" t="str">
        <f t="shared" si="21"/>
        <v>rokwzgl=12 i lp=700</v>
      </c>
      <c r="R78" s="28" t="str">
        <f t="shared" si="21"/>
        <v>rokwzgl=13 i lp=700</v>
      </c>
      <c r="S78" s="28" t="str">
        <f t="shared" si="21"/>
        <v>rokwzgl=14 i lp=700</v>
      </c>
      <c r="T78" s="28" t="str">
        <f t="shared" si="21"/>
        <v>rokwzgl=15 i lp=700</v>
      </c>
      <c r="U78" s="28" t="str">
        <f t="shared" si="21"/>
        <v>rokwzgl=16 i lp=700</v>
      </c>
      <c r="V78" s="28" t="str">
        <f t="shared" si="21"/>
        <v>rokwzgl=17 i lp=700</v>
      </c>
      <c r="W78" s="28" t="str">
        <f t="shared" si="21"/>
        <v>rokwzgl=18 i lp=700</v>
      </c>
      <c r="X78" s="28" t="str">
        <f t="shared" si="20"/>
        <v>rokwzgl=19 i lp=700</v>
      </c>
      <c r="Y78" s="28" t="str">
        <f t="shared" si="20"/>
        <v>rokwzgl=20 i lp=700</v>
      </c>
      <c r="Z78" s="28" t="str">
        <f t="shared" si="20"/>
        <v>rokwzgl=21 i lp=700</v>
      </c>
      <c r="AA78" s="28" t="str">
        <f t="shared" si="20"/>
        <v>rokwzgl=22 i lp=700</v>
      </c>
      <c r="AB78" s="28" t="str">
        <f t="shared" si="20"/>
        <v>rokwzgl=23 i lp=700</v>
      </c>
      <c r="AC78" s="28" t="str">
        <f t="shared" si="20"/>
        <v>rokwzgl=24 i lp=700</v>
      </c>
      <c r="AD78" s="28" t="str">
        <f t="shared" si="20"/>
        <v>rokwzgl=25 i lp=700</v>
      </c>
      <c r="AE78" s="28" t="str">
        <f t="shared" si="20"/>
        <v>rokwzgl=26 i lp=700</v>
      </c>
      <c r="AF78" s="28" t="str">
        <f t="shared" si="20"/>
        <v>rokwzgl=27 i lp=700</v>
      </c>
      <c r="AG78" s="28" t="str">
        <f t="shared" si="20"/>
        <v>rokwzgl=28 i lp=700</v>
      </c>
      <c r="AH78" s="28" t="str">
        <f t="shared" si="20"/>
        <v>rokwzgl=29 i lp=700</v>
      </c>
    </row>
    <row r="79" spans="1:34">
      <c r="A79" s="27">
        <v>710</v>
      </c>
      <c r="B79" s="27" t="s">
        <v>104</v>
      </c>
      <c r="C79" s="28" t="s">
        <v>105</v>
      </c>
      <c r="D79" s="28" t="str">
        <f t="shared" si="22"/>
        <v>rokwzgl=0 i lp=710</v>
      </c>
      <c r="E79" s="28" t="str">
        <f t="shared" si="22"/>
        <v>rokwzgl=0 i lp=710</v>
      </c>
      <c r="F79" s="28" t="str">
        <f t="shared" si="22"/>
        <v>rokwzgl=1 i lp=710</v>
      </c>
      <c r="G79" s="28" t="str">
        <f t="shared" si="22"/>
        <v>rokwzgl=2 i lp=710</v>
      </c>
      <c r="H79" s="28" t="str">
        <f t="shared" si="22"/>
        <v>rokwzgl=3 i lp=710</v>
      </c>
      <c r="I79" s="28" t="str">
        <f t="shared" si="22"/>
        <v>rokwzgl=4 i lp=710</v>
      </c>
      <c r="J79" s="28" t="str">
        <f t="shared" si="22"/>
        <v>rokwzgl=5 i lp=710</v>
      </c>
      <c r="K79" s="28" t="str">
        <f t="shared" si="22"/>
        <v>rokwzgl=6 i lp=710</v>
      </c>
      <c r="L79" s="28" t="str">
        <f t="shared" si="22"/>
        <v>rokwzgl=7 i lp=710</v>
      </c>
      <c r="M79" s="28" t="str">
        <f t="shared" si="22"/>
        <v>rokwzgl=8 i lp=710</v>
      </c>
      <c r="N79" s="28" t="str">
        <f t="shared" si="21"/>
        <v>rokwzgl=9 i lp=710</v>
      </c>
      <c r="O79" s="28" t="str">
        <f t="shared" si="21"/>
        <v>rokwzgl=10 i lp=710</v>
      </c>
      <c r="P79" s="28" t="str">
        <f t="shared" si="21"/>
        <v>rokwzgl=11 i lp=710</v>
      </c>
      <c r="Q79" s="28" t="str">
        <f t="shared" si="21"/>
        <v>rokwzgl=12 i lp=710</v>
      </c>
      <c r="R79" s="28" t="str">
        <f t="shared" si="21"/>
        <v>rokwzgl=13 i lp=710</v>
      </c>
      <c r="S79" s="28" t="str">
        <f t="shared" si="21"/>
        <v>rokwzgl=14 i lp=710</v>
      </c>
      <c r="T79" s="28" t="str">
        <f t="shared" si="21"/>
        <v>rokwzgl=15 i lp=710</v>
      </c>
      <c r="U79" s="28" t="str">
        <f t="shared" si="21"/>
        <v>rokwzgl=16 i lp=710</v>
      </c>
      <c r="V79" s="28" t="str">
        <f t="shared" si="21"/>
        <v>rokwzgl=17 i lp=710</v>
      </c>
      <c r="W79" s="28" t="str">
        <f t="shared" si="21"/>
        <v>rokwzgl=18 i lp=710</v>
      </c>
      <c r="X79" s="28" t="str">
        <f t="shared" si="20"/>
        <v>rokwzgl=19 i lp=710</v>
      </c>
      <c r="Y79" s="28" t="str">
        <f t="shared" si="20"/>
        <v>rokwzgl=20 i lp=710</v>
      </c>
      <c r="Z79" s="28" t="str">
        <f t="shared" si="20"/>
        <v>rokwzgl=21 i lp=710</v>
      </c>
      <c r="AA79" s="28" t="str">
        <f t="shared" si="20"/>
        <v>rokwzgl=22 i lp=710</v>
      </c>
      <c r="AB79" s="28" t="str">
        <f t="shared" si="20"/>
        <v>rokwzgl=23 i lp=710</v>
      </c>
      <c r="AC79" s="28" t="str">
        <f t="shared" si="20"/>
        <v>rokwzgl=24 i lp=710</v>
      </c>
      <c r="AD79" s="28" t="str">
        <f t="shared" si="20"/>
        <v>rokwzgl=25 i lp=710</v>
      </c>
      <c r="AE79" s="28" t="str">
        <f t="shared" si="20"/>
        <v>rokwzgl=26 i lp=710</v>
      </c>
      <c r="AF79" s="28" t="str">
        <f t="shared" si="20"/>
        <v>rokwzgl=27 i lp=710</v>
      </c>
      <c r="AG79" s="28" t="str">
        <f t="shared" si="20"/>
        <v>rokwzgl=28 i lp=710</v>
      </c>
      <c r="AH79" s="28" t="str">
        <f t="shared" si="20"/>
        <v>rokwzgl=29 i lp=710</v>
      </c>
    </row>
    <row r="80" spans="1:34">
      <c r="A80" s="27">
        <v>720</v>
      </c>
      <c r="B80" s="27" t="s">
        <v>106</v>
      </c>
      <c r="C80" s="28" t="s">
        <v>107</v>
      </c>
      <c r="D80" s="28" t="str">
        <f t="shared" si="22"/>
        <v>rokwzgl=0 i lp=720</v>
      </c>
      <c r="E80" s="28" t="str">
        <f t="shared" si="22"/>
        <v>rokwzgl=0 i lp=720</v>
      </c>
      <c r="F80" s="28" t="str">
        <f t="shared" si="22"/>
        <v>rokwzgl=1 i lp=720</v>
      </c>
      <c r="G80" s="28" t="str">
        <f t="shared" si="22"/>
        <v>rokwzgl=2 i lp=720</v>
      </c>
      <c r="H80" s="28" t="str">
        <f t="shared" si="22"/>
        <v>rokwzgl=3 i lp=720</v>
      </c>
      <c r="I80" s="28" t="str">
        <f t="shared" si="22"/>
        <v>rokwzgl=4 i lp=720</v>
      </c>
      <c r="J80" s="28" t="str">
        <f t="shared" si="22"/>
        <v>rokwzgl=5 i lp=720</v>
      </c>
      <c r="K80" s="28" t="str">
        <f t="shared" si="22"/>
        <v>rokwzgl=6 i lp=720</v>
      </c>
      <c r="L80" s="28" t="str">
        <f t="shared" si="22"/>
        <v>rokwzgl=7 i lp=720</v>
      </c>
      <c r="M80" s="28" t="str">
        <f t="shared" si="22"/>
        <v>rokwzgl=8 i lp=720</v>
      </c>
      <c r="N80" s="28" t="str">
        <f t="shared" si="21"/>
        <v>rokwzgl=9 i lp=720</v>
      </c>
      <c r="O80" s="28" t="str">
        <f t="shared" si="21"/>
        <v>rokwzgl=10 i lp=720</v>
      </c>
      <c r="P80" s="28" t="str">
        <f t="shared" si="21"/>
        <v>rokwzgl=11 i lp=720</v>
      </c>
      <c r="Q80" s="28" t="str">
        <f t="shared" si="21"/>
        <v>rokwzgl=12 i lp=720</v>
      </c>
      <c r="R80" s="28" t="str">
        <f t="shared" si="21"/>
        <v>rokwzgl=13 i lp=720</v>
      </c>
      <c r="S80" s="28" t="str">
        <f t="shared" si="21"/>
        <v>rokwzgl=14 i lp=720</v>
      </c>
      <c r="T80" s="28" t="str">
        <f t="shared" si="21"/>
        <v>rokwzgl=15 i lp=720</v>
      </c>
      <c r="U80" s="28" t="str">
        <f t="shared" si="21"/>
        <v>rokwzgl=16 i lp=720</v>
      </c>
      <c r="V80" s="28" t="str">
        <f t="shared" si="21"/>
        <v>rokwzgl=17 i lp=720</v>
      </c>
      <c r="W80" s="28" t="str">
        <f t="shared" si="21"/>
        <v>rokwzgl=18 i lp=720</v>
      </c>
      <c r="X80" s="28" t="str">
        <f t="shared" si="20"/>
        <v>rokwzgl=19 i lp=720</v>
      </c>
      <c r="Y80" s="28" t="str">
        <f t="shared" si="20"/>
        <v>rokwzgl=20 i lp=720</v>
      </c>
      <c r="Z80" s="28" t="str">
        <f t="shared" si="20"/>
        <v>rokwzgl=21 i lp=720</v>
      </c>
      <c r="AA80" s="28" t="str">
        <f t="shared" si="20"/>
        <v>rokwzgl=22 i lp=720</v>
      </c>
      <c r="AB80" s="28" t="str">
        <f t="shared" si="20"/>
        <v>rokwzgl=23 i lp=720</v>
      </c>
      <c r="AC80" s="28" t="str">
        <f t="shared" si="20"/>
        <v>rokwzgl=24 i lp=720</v>
      </c>
      <c r="AD80" s="28" t="str">
        <f t="shared" si="20"/>
        <v>rokwzgl=25 i lp=720</v>
      </c>
      <c r="AE80" s="28" t="str">
        <f t="shared" si="20"/>
        <v>rokwzgl=26 i lp=720</v>
      </c>
      <c r="AF80" s="28" t="str">
        <f t="shared" si="20"/>
        <v>rokwzgl=27 i lp=720</v>
      </c>
      <c r="AG80" s="28" t="str">
        <f t="shared" si="20"/>
        <v>rokwzgl=28 i lp=720</v>
      </c>
      <c r="AH80" s="28" t="str">
        <f t="shared" si="20"/>
        <v>rokwzgl=29 i lp=720</v>
      </c>
    </row>
    <row r="81" spans="1:34">
      <c r="A81" s="27">
        <v>730</v>
      </c>
      <c r="B81" s="27" t="s">
        <v>166</v>
      </c>
      <c r="C81" s="28" t="s">
        <v>108</v>
      </c>
      <c r="D81" s="28" t="str">
        <f t="shared" si="22"/>
        <v>rokwzgl=0 i lp=730</v>
      </c>
      <c r="E81" s="28" t="str">
        <f t="shared" si="22"/>
        <v>rokwzgl=0 i lp=730</v>
      </c>
      <c r="F81" s="28" t="str">
        <f t="shared" si="22"/>
        <v>rokwzgl=1 i lp=730</v>
      </c>
      <c r="G81" s="28" t="str">
        <f t="shared" si="22"/>
        <v>rokwzgl=2 i lp=730</v>
      </c>
      <c r="H81" s="28" t="str">
        <f t="shared" si="22"/>
        <v>rokwzgl=3 i lp=730</v>
      </c>
      <c r="I81" s="28" t="str">
        <f t="shared" si="22"/>
        <v>rokwzgl=4 i lp=730</v>
      </c>
      <c r="J81" s="28" t="str">
        <f t="shared" si="22"/>
        <v>rokwzgl=5 i lp=730</v>
      </c>
      <c r="K81" s="28" t="str">
        <f t="shared" si="22"/>
        <v>rokwzgl=6 i lp=730</v>
      </c>
      <c r="L81" s="28" t="str">
        <f t="shared" si="22"/>
        <v>rokwzgl=7 i lp=730</v>
      </c>
      <c r="M81" s="28" t="str">
        <f t="shared" si="22"/>
        <v>rokwzgl=8 i lp=730</v>
      </c>
      <c r="N81" s="28" t="str">
        <f t="shared" si="21"/>
        <v>rokwzgl=9 i lp=730</v>
      </c>
      <c r="O81" s="28" t="str">
        <f t="shared" si="21"/>
        <v>rokwzgl=10 i lp=730</v>
      </c>
      <c r="P81" s="28" t="str">
        <f t="shared" si="21"/>
        <v>rokwzgl=11 i lp=730</v>
      </c>
      <c r="Q81" s="28" t="str">
        <f t="shared" si="21"/>
        <v>rokwzgl=12 i lp=730</v>
      </c>
      <c r="R81" s="28" t="str">
        <f t="shared" si="21"/>
        <v>rokwzgl=13 i lp=730</v>
      </c>
      <c r="S81" s="28" t="str">
        <f t="shared" si="21"/>
        <v>rokwzgl=14 i lp=730</v>
      </c>
      <c r="T81" s="28" t="str">
        <f t="shared" si="21"/>
        <v>rokwzgl=15 i lp=730</v>
      </c>
      <c r="U81" s="28" t="str">
        <f t="shared" si="21"/>
        <v>rokwzgl=16 i lp=730</v>
      </c>
      <c r="V81" s="28" t="str">
        <f t="shared" si="21"/>
        <v>rokwzgl=17 i lp=730</v>
      </c>
      <c r="W81" s="28" t="str">
        <f t="shared" si="21"/>
        <v>rokwzgl=18 i lp=730</v>
      </c>
      <c r="X81" s="28" t="str">
        <f t="shared" si="20"/>
        <v>rokwzgl=19 i lp=730</v>
      </c>
      <c r="Y81" s="28" t="str">
        <f t="shared" si="20"/>
        <v>rokwzgl=20 i lp=730</v>
      </c>
      <c r="Z81" s="28" t="str">
        <f t="shared" si="20"/>
        <v>rokwzgl=21 i lp=730</v>
      </c>
      <c r="AA81" s="28" t="str">
        <f t="shared" si="20"/>
        <v>rokwzgl=22 i lp=730</v>
      </c>
      <c r="AB81" s="28" t="str">
        <f t="shared" si="20"/>
        <v>rokwzgl=23 i lp=730</v>
      </c>
      <c r="AC81" s="28" t="str">
        <f t="shared" si="20"/>
        <v>rokwzgl=24 i lp=730</v>
      </c>
      <c r="AD81" s="28" t="str">
        <f t="shared" si="20"/>
        <v>rokwzgl=25 i lp=730</v>
      </c>
      <c r="AE81" s="28" t="str">
        <f t="shared" si="20"/>
        <v>rokwzgl=26 i lp=730</v>
      </c>
      <c r="AF81" s="28" t="str">
        <f t="shared" si="20"/>
        <v>rokwzgl=27 i lp=730</v>
      </c>
      <c r="AG81" s="28" t="str">
        <f t="shared" si="20"/>
        <v>rokwzgl=28 i lp=730</v>
      </c>
      <c r="AH81" s="28" t="str">
        <f t="shared" si="20"/>
        <v>rokwzgl=29 i lp=730</v>
      </c>
    </row>
    <row r="82" spans="1:34">
      <c r="A82" s="27">
        <v>740</v>
      </c>
      <c r="B82" s="27" t="s">
        <v>109</v>
      </c>
      <c r="C82" s="28" t="s">
        <v>110</v>
      </c>
      <c r="D82" s="28" t="str">
        <f t="shared" si="22"/>
        <v>rokwzgl=0 i lp=740</v>
      </c>
      <c r="E82" s="28" t="str">
        <f t="shared" si="22"/>
        <v>rokwzgl=0 i lp=740</v>
      </c>
      <c r="F82" s="28" t="str">
        <f t="shared" si="22"/>
        <v>rokwzgl=1 i lp=740</v>
      </c>
      <c r="G82" s="28" t="str">
        <f t="shared" si="22"/>
        <v>rokwzgl=2 i lp=740</v>
      </c>
      <c r="H82" s="28" t="str">
        <f t="shared" si="22"/>
        <v>rokwzgl=3 i lp=740</v>
      </c>
      <c r="I82" s="28" t="str">
        <f t="shared" si="22"/>
        <v>rokwzgl=4 i lp=740</v>
      </c>
      <c r="J82" s="28" t="str">
        <f t="shared" si="22"/>
        <v>rokwzgl=5 i lp=740</v>
      </c>
      <c r="K82" s="28" t="str">
        <f t="shared" si="22"/>
        <v>rokwzgl=6 i lp=740</v>
      </c>
      <c r="L82" s="28" t="str">
        <f t="shared" si="22"/>
        <v>rokwzgl=7 i lp=740</v>
      </c>
      <c r="M82" s="28" t="str">
        <f t="shared" si="22"/>
        <v>rokwzgl=8 i lp=740</v>
      </c>
      <c r="N82" s="28" t="str">
        <f t="shared" si="21"/>
        <v>rokwzgl=9 i lp=740</v>
      </c>
      <c r="O82" s="28" t="str">
        <f t="shared" si="21"/>
        <v>rokwzgl=10 i lp=740</v>
      </c>
      <c r="P82" s="28" t="str">
        <f t="shared" si="21"/>
        <v>rokwzgl=11 i lp=740</v>
      </c>
      <c r="Q82" s="28" t="str">
        <f t="shared" si="21"/>
        <v>rokwzgl=12 i lp=740</v>
      </c>
      <c r="R82" s="28" t="str">
        <f t="shared" si="21"/>
        <v>rokwzgl=13 i lp=740</v>
      </c>
      <c r="S82" s="28" t="str">
        <f t="shared" si="21"/>
        <v>rokwzgl=14 i lp=740</v>
      </c>
      <c r="T82" s="28" t="str">
        <f t="shared" si="21"/>
        <v>rokwzgl=15 i lp=740</v>
      </c>
      <c r="U82" s="28" t="str">
        <f t="shared" si="21"/>
        <v>rokwzgl=16 i lp=740</v>
      </c>
      <c r="V82" s="28" t="str">
        <f t="shared" si="21"/>
        <v>rokwzgl=17 i lp=740</v>
      </c>
      <c r="W82" s="28" t="str">
        <f t="shared" si="21"/>
        <v>rokwzgl=18 i lp=740</v>
      </c>
      <c r="X82" s="28" t="str">
        <f t="shared" si="20"/>
        <v>rokwzgl=19 i lp=740</v>
      </c>
      <c r="Y82" s="28" t="str">
        <f t="shared" si="20"/>
        <v>rokwzgl=20 i lp=740</v>
      </c>
      <c r="Z82" s="28" t="str">
        <f t="shared" si="20"/>
        <v>rokwzgl=21 i lp=740</v>
      </c>
      <c r="AA82" s="28" t="str">
        <f t="shared" si="20"/>
        <v>rokwzgl=22 i lp=740</v>
      </c>
      <c r="AB82" s="28" t="str">
        <f t="shared" si="20"/>
        <v>rokwzgl=23 i lp=740</v>
      </c>
      <c r="AC82" s="28" t="str">
        <f t="shared" si="20"/>
        <v>rokwzgl=24 i lp=740</v>
      </c>
      <c r="AD82" s="28" t="str">
        <f t="shared" si="20"/>
        <v>rokwzgl=25 i lp=740</v>
      </c>
      <c r="AE82" s="28" t="str">
        <f t="shared" si="20"/>
        <v>rokwzgl=26 i lp=740</v>
      </c>
      <c r="AF82" s="28" t="str">
        <f t="shared" si="20"/>
        <v>rokwzgl=27 i lp=740</v>
      </c>
      <c r="AG82" s="28" t="str">
        <f t="shared" si="20"/>
        <v>rokwzgl=28 i lp=740</v>
      </c>
      <c r="AH82" s="28" t="str">
        <f t="shared" si="20"/>
        <v>rokwzgl=29 i lp=740</v>
      </c>
    </row>
    <row r="83" spans="1:34">
      <c r="A83" s="27">
        <v>750</v>
      </c>
      <c r="B83" s="27" t="s">
        <v>111</v>
      </c>
      <c r="C83" s="28" t="s">
        <v>112</v>
      </c>
      <c r="D83" s="28" t="str">
        <f t="shared" si="22"/>
        <v>rokwzgl=0 i lp=750</v>
      </c>
      <c r="E83" s="28" t="str">
        <f t="shared" si="22"/>
        <v>rokwzgl=0 i lp=750</v>
      </c>
      <c r="F83" s="28" t="str">
        <f t="shared" si="22"/>
        <v>rokwzgl=1 i lp=750</v>
      </c>
      <c r="G83" s="28" t="str">
        <f t="shared" si="22"/>
        <v>rokwzgl=2 i lp=750</v>
      </c>
      <c r="H83" s="28" t="str">
        <f t="shared" si="22"/>
        <v>rokwzgl=3 i lp=750</v>
      </c>
      <c r="I83" s="28" t="str">
        <f t="shared" si="22"/>
        <v>rokwzgl=4 i lp=750</v>
      </c>
      <c r="J83" s="28" t="str">
        <f t="shared" si="22"/>
        <v>rokwzgl=5 i lp=750</v>
      </c>
      <c r="K83" s="28" t="str">
        <f t="shared" si="22"/>
        <v>rokwzgl=6 i lp=750</v>
      </c>
      <c r="L83" s="28" t="str">
        <f t="shared" si="22"/>
        <v>rokwzgl=7 i lp=750</v>
      </c>
      <c r="M83" s="28" t="str">
        <f t="shared" si="22"/>
        <v>rokwzgl=8 i lp=750</v>
      </c>
      <c r="N83" s="28" t="str">
        <f t="shared" si="21"/>
        <v>rokwzgl=9 i lp=750</v>
      </c>
      <c r="O83" s="28" t="str">
        <f t="shared" si="21"/>
        <v>rokwzgl=10 i lp=750</v>
      </c>
      <c r="P83" s="28" t="str">
        <f t="shared" si="21"/>
        <v>rokwzgl=11 i lp=750</v>
      </c>
      <c r="Q83" s="28" t="str">
        <f t="shared" si="21"/>
        <v>rokwzgl=12 i lp=750</v>
      </c>
      <c r="R83" s="28" t="str">
        <f t="shared" si="21"/>
        <v>rokwzgl=13 i lp=750</v>
      </c>
      <c r="S83" s="28" t="str">
        <f t="shared" si="21"/>
        <v>rokwzgl=14 i lp=750</v>
      </c>
      <c r="T83" s="28" t="str">
        <f t="shared" si="21"/>
        <v>rokwzgl=15 i lp=750</v>
      </c>
      <c r="U83" s="28" t="str">
        <f t="shared" si="21"/>
        <v>rokwzgl=16 i lp=750</v>
      </c>
      <c r="V83" s="28" t="str">
        <f t="shared" si="21"/>
        <v>rokwzgl=17 i lp=750</v>
      </c>
      <c r="W83" s="28" t="str">
        <f t="shared" si="21"/>
        <v>rokwzgl=18 i lp=750</v>
      </c>
      <c r="X83" s="28" t="str">
        <f t="shared" si="20"/>
        <v>rokwzgl=19 i lp=750</v>
      </c>
      <c r="Y83" s="28" t="str">
        <f t="shared" si="20"/>
        <v>rokwzgl=20 i lp=750</v>
      </c>
      <c r="Z83" s="28" t="str">
        <f t="shared" si="20"/>
        <v>rokwzgl=21 i lp=750</v>
      </c>
      <c r="AA83" s="28" t="str">
        <f t="shared" si="20"/>
        <v>rokwzgl=22 i lp=750</v>
      </c>
      <c r="AB83" s="28" t="str">
        <f t="shared" si="20"/>
        <v>rokwzgl=23 i lp=750</v>
      </c>
      <c r="AC83" s="28" t="str">
        <f t="shared" si="20"/>
        <v>rokwzgl=24 i lp=750</v>
      </c>
      <c r="AD83" s="28" t="str">
        <f t="shared" si="20"/>
        <v>rokwzgl=25 i lp=750</v>
      </c>
      <c r="AE83" s="28" t="str">
        <f t="shared" si="20"/>
        <v>rokwzgl=26 i lp=750</v>
      </c>
      <c r="AF83" s="28" t="str">
        <f t="shared" si="20"/>
        <v>rokwzgl=27 i lp=750</v>
      </c>
      <c r="AG83" s="28" t="str">
        <f t="shared" si="20"/>
        <v>rokwzgl=28 i lp=750</v>
      </c>
      <c r="AH83" s="28" t="str">
        <f t="shared" si="20"/>
        <v>rokwzgl=29 i lp=750</v>
      </c>
    </row>
    <row r="84" spans="1:34">
      <c r="A84" s="27">
        <v>760</v>
      </c>
      <c r="B84" s="27" t="s">
        <v>167</v>
      </c>
      <c r="C84" s="28" t="s">
        <v>113</v>
      </c>
      <c r="D84" s="28" t="str">
        <f t="shared" si="22"/>
        <v>rokwzgl=0 i lp=760</v>
      </c>
      <c r="E84" s="28" t="str">
        <f t="shared" si="22"/>
        <v>rokwzgl=0 i lp=760</v>
      </c>
      <c r="F84" s="28" t="str">
        <f t="shared" si="22"/>
        <v>rokwzgl=1 i lp=760</v>
      </c>
      <c r="G84" s="28" t="str">
        <f t="shared" si="22"/>
        <v>rokwzgl=2 i lp=760</v>
      </c>
      <c r="H84" s="28" t="str">
        <f t="shared" si="22"/>
        <v>rokwzgl=3 i lp=760</v>
      </c>
      <c r="I84" s="28" t="str">
        <f t="shared" si="22"/>
        <v>rokwzgl=4 i lp=760</v>
      </c>
      <c r="J84" s="28" t="str">
        <f t="shared" si="22"/>
        <v>rokwzgl=5 i lp=760</v>
      </c>
      <c r="K84" s="28" t="str">
        <f t="shared" si="22"/>
        <v>rokwzgl=6 i lp=760</v>
      </c>
      <c r="L84" s="28" t="str">
        <f t="shared" si="22"/>
        <v>rokwzgl=7 i lp=760</v>
      </c>
      <c r="M84" s="28" t="str">
        <f t="shared" si="22"/>
        <v>rokwzgl=8 i lp=760</v>
      </c>
      <c r="N84" s="28" t="str">
        <f t="shared" si="21"/>
        <v>rokwzgl=9 i lp=760</v>
      </c>
      <c r="O84" s="28" t="str">
        <f t="shared" si="21"/>
        <v>rokwzgl=10 i lp=760</v>
      </c>
      <c r="P84" s="28" t="str">
        <f t="shared" si="21"/>
        <v>rokwzgl=11 i lp=760</v>
      </c>
      <c r="Q84" s="28" t="str">
        <f t="shared" si="21"/>
        <v>rokwzgl=12 i lp=760</v>
      </c>
      <c r="R84" s="28" t="str">
        <f t="shared" si="21"/>
        <v>rokwzgl=13 i lp=760</v>
      </c>
      <c r="S84" s="28" t="str">
        <f t="shared" si="21"/>
        <v>rokwzgl=14 i lp=760</v>
      </c>
      <c r="T84" s="28" t="str">
        <f t="shared" si="21"/>
        <v>rokwzgl=15 i lp=760</v>
      </c>
      <c r="U84" s="28" t="str">
        <f t="shared" si="21"/>
        <v>rokwzgl=16 i lp=760</v>
      </c>
      <c r="V84" s="28" t="str">
        <f t="shared" si="21"/>
        <v>rokwzgl=17 i lp=760</v>
      </c>
      <c r="W84" s="28" t="str">
        <f t="shared" si="21"/>
        <v>rokwzgl=18 i lp=760</v>
      </c>
      <c r="X84" s="28" t="str">
        <f t="shared" si="20"/>
        <v>rokwzgl=19 i lp=760</v>
      </c>
      <c r="Y84" s="28" t="str">
        <f t="shared" si="20"/>
        <v>rokwzgl=20 i lp=760</v>
      </c>
      <c r="Z84" s="28" t="str">
        <f t="shared" si="20"/>
        <v>rokwzgl=21 i lp=760</v>
      </c>
      <c r="AA84" s="28" t="str">
        <f t="shared" si="20"/>
        <v>rokwzgl=22 i lp=760</v>
      </c>
      <c r="AB84" s="28" t="str">
        <f t="shared" si="20"/>
        <v>rokwzgl=23 i lp=760</v>
      </c>
      <c r="AC84" s="28" t="str">
        <f t="shared" si="20"/>
        <v>rokwzgl=24 i lp=760</v>
      </c>
      <c r="AD84" s="28" t="str">
        <f t="shared" si="20"/>
        <v>rokwzgl=25 i lp=760</v>
      </c>
      <c r="AE84" s="28" t="str">
        <f t="shared" si="20"/>
        <v>rokwzgl=26 i lp=760</v>
      </c>
      <c r="AF84" s="28" t="str">
        <f t="shared" si="20"/>
        <v>rokwzgl=27 i lp=760</v>
      </c>
      <c r="AG84" s="28" t="str">
        <f t="shared" si="20"/>
        <v>rokwzgl=28 i lp=760</v>
      </c>
      <c r="AH84" s="28" t="str">
        <f t="shared" si="20"/>
        <v>rokwzgl=29 i lp=760</v>
      </c>
    </row>
    <row r="85" spans="1:34">
      <c r="A85" s="27">
        <v>761</v>
      </c>
      <c r="B85" s="27" t="s">
        <v>114</v>
      </c>
      <c r="C85" s="28" t="s">
        <v>115</v>
      </c>
      <c r="D85" s="28" t="str">
        <f t="shared" si="22"/>
        <v>rokwzgl=0 i lp=761</v>
      </c>
      <c r="E85" s="28" t="str">
        <f t="shared" si="22"/>
        <v>rokwzgl=0 i lp=761</v>
      </c>
      <c r="F85" s="28" t="str">
        <f t="shared" si="22"/>
        <v>rokwzgl=1 i lp=761</v>
      </c>
      <c r="G85" s="28" t="str">
        <f t="shared" si="22"/>
        <v>rokwzgl=2 i lp=761</v>
      </c>
      <c r="H85" s="28" t="str">
        <f t="shared" si="22"/>
        <v>rokwzgl=3 i lp=761</v>
      </c>
      <c r="I85" s="28" t="str">
        <f t="shared" si="22"/>
        <v>rokwzgl=4 i lp=761</v>
      </c>
      <c r="J85" s="28" t="str">
        <f t="shared" si="22"/>
        <v>rokwzgl=5 i lp=761</v>
      </c>
      <c r="K85" s="28" t="str">
        <f t="shared" si="22"/>
        <v>rokwzgl=6 i lp=761</v>
      </c>
      <c r="L85" s="28" t="str">
        <f t="shared" si="22"/>
        <v>rokwzgl=7 i lp=761</v>
      </c>
      <c r="M85" s="28" t="str">
        <f t="shared" si="22"/>
        <v>rokwzgl=8 i lp=761</v>
      </c>
      <c r="N85" s="28" t="str">
        <f t="shared" si="21"/>
        <v>rokwzgl=9 i lp=761</v>
      </c>
      <c r="O85" s="28" t="str">
        <f t="shared" si="21"/>
        <v>rokwzgl=10 i lp=761</v>
      </c>
      <c r="P85" s="28" t="str">
        <f t="shared" si="21"/>
        <v>rokwzgl=11 i lp=761</v>
      </c>
      <c r="Q85" s="28" t="str">
        <f t="shared" si="21"/>
        <v>rokwzgl=12 i lp=761</v>
      </c>
      <c r="R85" s="28" t="str">
        <f t="shared" si="21"/>
        <v>rokwzgl=13 i lp=761</v>
      </c>
      <c r="S85" s="28" t="str">
        <f t="shared" si="21"/>
        <v>rokwzgl=14 i lp=761</v>
      </c>
      <c r="T85" s="28" t="str">
        <f t="shared" si="21"/>
        <v>rokwzgl=15 i lp=761</v>
      </c>
      <c r="U85" s="28" t="str">
        <f t="shared" si="21"/>
        <v>rokwzgl=16 i lp=761</v>
      </c>
      <c r="V85" s="28" t="str">
        <f t="shared" si="21"/>
        <v>rokwzgl=17 i lp=761</v>
      </c>
      <c r="W85" s="28" t="str">
        <f t="shared" si="21"/>
        <v>rokwzgl=18 i lp=761</v>
      </c>
      <c r="X85" s="28" t="str">
        <f t="shared" si="20"/>
        <v>rokwzgl=19 i lp=761</v>
      </c>
      <c r="Y85" s="28" t="str">
        <f t="shared" si="20"/>
        <v>rokwzgl=20 i lp=761</v>
      </c>
      <c r="Z85" s="28" t="str">
        <f t="shared" si="20"/>
        <v>rokwzgl=21 i lp=761</v>
      </c>
      <c r="AA85" s="28" t="str">
        <f t="shared" si="20"/>
        <v>rokwzgl=22 i lp=761</v>
      </c>
      <c r="AB85" s="28" t="str">
        <f t="shared" si="20"/>
        <v>rokwzgl=23 i lp=761</v>
      </c>
      <c r="AC85" s="28" t="str">
        <f t="shared" si="20"/>
        <v>rokwzgl=24 i lp=761</v>
      </c>
      <c r="AD85" s="28" t="str">
        <f t="shared" si="20"/>
        <v>rokwzgl=25 i lp=761</v>
      </c>
      <c r="AE85" s="28" t="str">
        <f t="shared" si="20"/>
        <v>rokwzgl=26 i lp=761</v>
      </c>
      <c r="AF85" s="28" t="str">
        <f t="shared" si="20"/>
        <v>rokwzgl=27 i lp=761</v>
      </c>
      <c r="AG85" s="28" t="str">
        <f t="shared" si="20"/>
        <v>rokwzgl=28 i lp=761</v>
      </c>
      <c r="AH85" s="28" t="str">
        <f t="shared" si="20"/>
        <v>rokwzgl=29 i lp=761</v>
      </c>
    </row>
    <row r="86" spans="1:34">
      <c r="A86" s="27">
        <v>762</v>
      </c>
      <c r="B86" s="27" t="s">
        <v>116</v>
      </c>
      <c r="C86" s="28" t="s">
        <v>117</v>
      </c>
      <c r="D86" s="28" t="str">
        <f t="shared" si="22"/>
        <v>rokwzgl=0 i lp=762</v>
      </c>
      <c r="E86" s="28" t="str">
        <f t="shared" si="22"/>
        <v>rokwzgl=0 i lp=762</v>
      </c>
      <c r="F86" s="28" t="str">
        <f t="shared" si="22"/>
        <v>rokwzgl=1 i lp=762</v>
      </c>
      <c r="G86" s="28" t="str">
        <f t="shared" si="22"/>
        <v>rokwzgl=2 i lp=762</v>
      </c>
      <c r="H86" s="28" t="str">
        <f t="shared" si="22"/>
        <v>rokwzgl=3 i lp=762</v>
      </c>
      <c r="I86" s="28" t="str">
        <f t="shared" si="22"/>
        <v>rokwzgl=4 i lp=762</v>
      </c>
      <c r="J86" s="28" t="str">
        <f t="shared" si="22"/>
        <v>rokwzgl=5 i lp=762</v>
      </c>
      <c r="K86" s="28" t="str">
        <f t="shared" si="22"/>
        <v>rokwzgl=6 i lp=762</v>
      </c>
      <c r="L86" s="28" t="str">
        <f t="shared" si="22"/>
        <v>rokwzgl=7 i lp=762</v>
      </c>
      <c r="M86" s="28" t="str">
        <f t="shared" si="22"/>
        <v>rokwzgl=8 i lp=762</v>
      </c>
      <c r="N86" s="28" t="str">
        <f t="shared" si="21"/>
        <v>rokwzgl=9 i lp=762</v>
      </c>
      <c r="O86" s="28" t="str">
        <f t="shared" si="21"/>
        <v>rokwzgl=10 i lp=762</v>
      </c>
      <c r="P86" s="28" t="str">
        <f t="shared" si="21"/>
        <v>rokwzgl=11 i lp=762</v>
      </c>
      <c r="Q86" s="28" t="str">
        <f t="shared" si="21"/>
        <v>rokwzgl=12 i lp=762</v>
      </c>
      <c r="R86" s="28" t="str">
        <f t="shared" si="21"/>
        <v>rokwzgl=13 i lp=762</v>
      </c>
      <c r="S86" s="28" t="str">
        <f t="shared" si="21"/>
        <v>rokwzgl=14 i lp=762</v>
      </c>
      <c r="T86" s="28" t="str">
        <f t="shared" si="21"/>
        <v>rokwzgl=15 i lp=762</v>
      </c>
      <c r="U86" s="28" t="str">
        <f t="shared" si="21"/>
        <v>rokwzgl=16 i lp=762</v>
      </c>
      <c r="V86" s="28" t="str">
        <f t="shared" si="21"/>
        <v>rokwzgl=17 i lp=762</v>
      </c>
      <c r="W86" s="28" t="str">
        <f t="shared" si="21"/>
        <v>rokwzgl=18 i lp=762</v>
      </c>
      <c r="X86" s="28" t="str">
        <f t="shared" si="20"/>
        <v>rokwzgl=19 i lp=762</v>
      </c>
      <c r="Y86" s="28" t="str">
        <f t="shared" si="20"/>
        <v>rokwzgl=20 i lp=762</v>
      </c>
      <c r="Z86" s="28" t="str">
        <f t="shared" si="20"/>
        <v>rokwzgl=21 i lp=762</v>
      </c>
      <c r="AA86" s="28" t="str">
        <f t="shared" si="20"/>
        <v>rokwzgl=22 i lp=762</v>
      </c>
      <c r="AB86" s="28" t="str">
        <f t="shared" si="20"/>
        <v>rokwzgl=23 i lp=762</v>
      </c>
      <c r="AC86" s="28" t="str">
        <f t="shared" si="20"/>
        <v>rokwzgl=24 i lp=762</v>
      </c>
      <c r="AD86" s="28" t="str">
        <f t="shared" si="20"/>
        <v>rokwzgl=25 i lp=762</v>
      </c>
      <c r="AE86" s="28" t="str">
        <f t="shared" si="20"/>
        <v>rokwzgl=26 i lp=762</v>
      </c>
      <c r="AF86" s="28" t="str">
        <f t="shared" si="20"/>
        <v>rokwzgl=27 i lp=762</v>
      </c>
      <c r="AG86" s="28" t="str">
        <f t="shared" si="20"/>
        <v>rokwzgl=28 i lp=762</v>
      </c>
      <c r="AH86" s="28" t="str">
        <f t="shared" si="20"/>
        <v>rokwzgl=29 i lp=762</v>
      </c>
    </row>
    <row r="87" spans="1:34">
      <c r="A87" s="27">
        <v>763</v>
      </c>
      <c r="B87" s="27" t="s">
        <v>397</v>
      </c>
      <c r="C87" s="28" t="s">
        <v>398</v>
      </c>
      <c r="D87" s="28" t="str">
        <f t="shared" si="22"/>
        <v>rokwzgl=0 i lp=763</v>
      </c>
      <c r="E87" s="28" t="str">
        <f t="shared" si="22"/>
        <v>rokwzgl=0 i lp=763</v>
      </c>
      <c r="F87" s="28" t="str">
        <f t="shared" si="22"/>
        <v>rokwzgl=1 i lp=763</v>
      </c>
      <c r="G87" s="28" t="str">
        <f t="shared" si="22"/>
        <v>rokwzgl=2 i lp=763</v>
      </c>
      <c r="H87" s="28" t="str">
        <f t="shared" si="22"/>
        <v>rokwzgl=3 i lp=763</v>
      </c>
      <c r="I87" s="28" t="str">
        <f t="shared" si="22"/>
        <v>rokwzgl=4 i lp=763</v>
      </c>
      <c r="J87" s="28" t="str">
        <f t="shared" si="22"/>
        <v>rokwzgl=5 i lp=763</v>
      </c>
      <c r="K87" s="28" t="str">
        <f t="shared" si="22"/>
        <v>rokwzgl=6 i lp=763</v>
      </c>
      <c r="L87" s="28" t="str">
        <f t="shared" si="22"/>
        <v>rokwzgl=7 i lp=763</v>
      </c>
      <c r="M87" s="28" t="str">
        <f t="shared" si="22"/>
        <v>rokwzgl=8 i lp=763</v>
      </c>
      <c r="N87" s="28" t="str">
        <f t="shared" si="21"/>
        <v>rokwzgl=9 i lp=763</v>
      </c>
      <c r="O87" s="28" t="str">
        <f t="shared" si="21"/>
        <v>rokwzgl=10 i lp=763</v>
      </c>
      <c r="P87" s="28" t="str">
        <f t="shared" si="21"/>
        <v>rokwzgl=11 i lp=763</v>
      </c>
      <c r="Q87" s="28" t="str">
        <f t="shared" si="21"/>
        <v>rokwzgl=12 i lp=763</v>
      </c>
      <c r="R87" s="28" t="str">
        <f t="shared" si="21"/>
        <v>rokwzgl=13 i lp=763</v>
      </c>
      <c r="S87" s="28" t="str">
        <f t="shared" si="21"/>
        <v>rokwzgl=14 i lp=763</v>
      </c>
      <c r="T87" s="28" t="str">
        <f t="shared" si="21"/>
        <v>rokwzgl=15 i lp=763</v>
      </c>
      <c r="U87" s="28" t="str">
        <f t="shared" si="21"/>
        <v>rokwzgl=16 i lp=763</v>
      </c>
      <c r="V87" s="28" t="str">
        <f t="shared" si="21"/>
        <v>rokwzgl=17 i lp=763</v>
      </c>
      <c r="W87" s="28" t="str">
        <f t="shared" si="21"/>
        <v>rokwzgl=18 i lp=763</v>
      </c>
      <c r="X87" s="28" t="str">
        <f t="shared" si="20"/>
        <v>rokwzgl=19 i lp=763</v>
      </c>
      <c r="Y87" s="28" t="str">
        <f t="shared" si="20"/>
        <v>rokwzgl=20 i lp=763</v>
      </c>
      <c r="Z87" s="28" t="str">
        <f t="shared" si="20"/>
        <v>rokwzgl=21 i lp=763</v>
      </c>
      <c r="AA87" s="28" t="str">
        <f t="shared" si="20"/>
        <v>rokwzgl=22 i lp=763</v>
      </c>
      <c r="AB87" s="28" t="str">
        <f t="shared" si="20"/>
        <v>rokwzgl=23 i lp=763</v>
      </c>
      <c r="AC87" s="28" t="str">
        <f t="shared" si="20"/>
        <v>rokwzgl=24 i lp=763</v>
      </c>
      <c r="AD87" s="28" t="str">
        <f t="shared" si="20"/>
        <v>rokwzgl=25 i lp=763</v>
      </c>
      <c r="AE87" s="28" t="str">
        <f t="shared" si="20"/>
        <v>rokwzgl=26 i lp=763</v>
      </c>
      <c r="AF87" s="28" t="str">
        <f t="shared" si="20"/>
        <v>rokwzgl=27 i lp=763</v>
      </c>
      <c r="AG87" s="28" t="str">
        <f t="shared" si="20"/>
        <v>rokwzgl=28 i lp=763</v>
      </c>
      <c r="AH87" s="28" t="str">
        <f t="shared" si="20"/>
        <v>rokwzgl=29 i lp=763</v>
      </c>
    </row>
    <row r="88" spans="1:34">
      <c r="A88" s="27">
        <v>764</v>
      </c>
      <c r="B88" s="27" t="s">
        <v>399</v>
      </c>
      <c r="C88" s="28" t="s">
        <v>400</v>
      </c>
      <c r="D88" s="28" t="str">
        <f t="shared" si="22"/>
        <v>rokwzgl=0 i lp=764</v>
      </c>
      <c r="E88" s="28" t="str">
        <f t="shared" si="22"/>
        <v>rokwzgl=0 i lp=764</v>
      </c>
      <c r="F88" s="28" t="str">
        <f t="shared" si="22"/>
        <v>rokwzgl=1 i lp=764</v>
      </c>
      <c r="G88" s="28" t="str">
        <f t="shared" si="22"/>
        <v>rokwzgl=2 i lp=764</v>
      </c>
      <c r="H88" s="28" t="str">
        <f t="shared" si="22"/>
        <v>rokwzgl=3 i lp=764</v>
      </c>
      <c r="I88" s="28" t="str">
        <f t="shared" si="22"/>
        <v>rokwzgl=4 i lp=764</v>
      </c>
      <c r="J88" s="28" t="str">
        <f t="shared" si="22"/>
        <v>rokwzgl=5 i lp=764</v>
      </c>
      <c r="K88" s="28" t="str">
        <f t="shared" si="22"/>
        <v>rokwzgl=6 i lp=764</v>
      </c>
      <c r="L88" s="28" t="str">
        <f t="shared" si="22"/>
        <v>rokwzgl=7 i lp=764</v>
      </c>
      <c r="M88" s="28" t="str">
        <f t="shared" si="22"/>
        <v>rokwzgl=8 i lp=764</v>
      </c>
      <c r="N88" s="28" t="str">
        <f t="shared" si="21"/>
        <v>rokwzgl=9 i lp=764</v>
      </c>
      <c r="O88" s="28" t="str">
        <f t="shared" si="21"/>
        <v>rokwzgl=10 i lp=764</v>
      </c>
      <c r="P88" s="28" t="str">
        <f t="shared" si="21"/>
        <v>rokwzgl=11 i lp=764</v>
      </c>
      <c r="Q88" s="28" t="str">
        <f t="shared" si="21"/>
        <v>rokwzgl=12 i lp=764</v>
      </c>
      <c r="R88" s="28" t="str">
        <f t="shared" si="21"/>
        <v>rokwzgl=13 i lp=764</v>
      </c>
      <c r="S88" s="28" t="str">
        <f t="shared" si="21"/>
        <v>rokwzgl=14 i lp=764</v>
      </c>
      <c r="T88" s="28" t="str">
        <f t="shared" si="21"/>
        <v>rokwzgl=15 i lp=764</v>
      </c>
      <c r="U88" s="28" t="str">
        <f t="shared" si="21"/>
        <v>rokwzgl=16 i lp=764</v>
      </c>
      <c r="V88" s="28" t="str">
        <f t="shared" si="21"/>
        <v>rokwzgl=17 i lp=764</v>
      </c>
      <c r="W88" s="28" t="str">
        <f t="shared" si="21"/>
        <v>rokwzgl=18 i lp=764</v>
      </c>
      <c r="X88" s="28" t="str">
        <f t="shared" si="20"/>
        <v>rokwzgl=19 i lp=764</v>
      </c>
      <c r="Y88" s="28" t="str">
        <f t="shared" si="20"/>
        <v>rokwzgl=20 i lp=764</v>
      </c>
      <c r="Z88" s="28" t="str">
        <f t="shared" si="20"/>
        <v>rokwzgl=21 i lp=764</v>
      </c>
      <c r="AA88" s="28" t="str">
        <f t="shared" si="20"/>
        <v>rokwzgl=22 i lp=764</v>
      </c>
      <c r="AB88" s="28" t="str">
        <f t="shared" si="20"/>
        <v>rokwzgl=23 i lp=764</v>
      </c>
      <c r="AC88" s="28" t="str">
        <f t="shared" si="20"/>
        <v>rokwzgl=24 i lp=764</v>
      </c>
      <c r="AD88" s="28" t="str">
        <f t="shared" si="20"/>
        <v>rokwzgl=25 i lp=764</v>
      </c>
      <c r="AE88" s="28" t="str">
        <f t="shared" si="20"/>
        <v>rokwzgl=26 i lp=764</v>
      </c>
      <c r="AF88" s="28" t="str">
        <f t="shared" si="20"/>
        <v>rokwzgl=27 i lp=764</v>
      </c>
      <c r="AG88" s="28" t="str">
        <f t="shared" si="20"/>
        <v>rokwzgl=28 i lp=764</v>
      </c>
      <c r="AH88" s="28" t="str">
        <f t="shared" si="20"/>
        <v>rokwzgl=29 i lp=764</v>
      </c>
    </row>
    <row r="89" spans="1:34">
      <c r="A89" s="27">
        <v>765</v>
      </c>
      <c r="B89" s="27" t="s">
        <v>401</v>
      </c>
      <c r="C89" s="28" t="s">
        <v>402</v>
      </c>
      <c r="D89" s="28" t="str">
        <f t="shared" si="22"/>
        <v>rokwzgl=0 i lp=765</v>
      </c>
      <c r="E89" s="28" t="str">
        <f t="shared" si="22"/>
        <v>rokwzgl=0 i lp=765</v>
      </c>
      <c r="F89" s="28" t="str">
        <f t="shared" si="22"/>
        <v>rokwzgl=1 i lp=765</v>
      </c>
      <c r="G89" s="28" t="str">
        <f t="shared" si="22"/>
        <v>rokwzgl=2 i lp=765</v>
      </c>
      <c r="H89" s="28" t="str">
        <f t="shared" si="22"/>
        <v>rokwzgl=3 i lp=765</v>
      </c>
      <c r="I89" s="28" t="str">
        <f t="shared" si="22"/>
        <v>rokwzgl=4 i lp=765</v>
      </c>
      <c r="J89" s="28" t="str">
        <f t="shared" si="22"/>
        <v>rokwzgl=5 i lp=765</v>
      </c>
      <c r="K89" s="28" t="str">
        <f t="shared" si="22"/>
        <v>rokwzgl=6 i lp=765</v>
      </c>
      <c r="L89" s="28" t="str">
        <f t="shared" si="22"/>
        <v>rokwzgl=7 i lp=765</v>
      </c>
      <c r="M89" s="28" t="str">
        <f t="shared" si="22"/>
        <v>rokwzgl=8 i lp=765</v>
      </c>
      <c r="N89" s="28" t="str">
        <f t="shared" si="21"/>
        <v>rokwzgl=9 i lp=765</v>
      </c>
      <c r="O89" s="28" t="str">
        <f t="shared" si="21"/>
        <v>rokwzgl=10 i lp=765</v>
      </c>
      <c r="P89" s="28" t="str">
        <f t="shared" si="21"/>
        <v>rokwzgl=11 i lp=765</v>
      </c>
      <c r="Q89" s="28" t="str">
        <f t="shared" si="21"/>
        <v>rokwzgl=12 i lp=765</v>
      </c>
      <c r="R89" s="28" t="str">
        <f t="shared" si="21"/>
        <v>rokwzgl=13 i lp=765</v>
      </c>
      <c r="S89" s="28" t="str">
        <f t="shared" si="21"/>
        <v>rokwzgl=14 i lp=765</v>
      </c>
      <c r="T89" s="28" t="str">
        <f t="shared" si="21"/>
        <v>rokwzgl=15 i lp=765</v>
      </c>
      <c r="U89" s="28" t="str">
        <f t="shared" si="21"/>
        <v>rokwzgl=16 i lp=765</v>
      </c>
      <c r="V89" s="28" t="str">
        <f t="shared" si="21"/>
        <v>rokwzgl=17 i lp=765</v>
      </c>
      <c r="W89" s="28" t="str">
        <f t="shared" si="21"/>
        <v>rokwzgl=18 i lp=765</v>
      </c>
      <c r="X89" s="28" t="str">
        <f t="shared" si="20"/>
        <v>rokwzgl=19 i lp=765</v>
      </c>
      <c r="Y89" s="28" t="str">
        <f t="shared" si="20"/>
        <v>rokwzgl=20 i lp=765</v>
      </c>
      <c r="Z89" s="28" t="str">
        <f t="shared" si="20"/>
        <v>rokwzgl=21 i lp=765</v>
      </c>
      <c r="AA89" s="28" t="str">
        <f t="shared" si="20"/>
        <v>rokwzgl=22 i lp=765</v>
      </c>
      <c r="AB89" s="28" t="str">
        <f t="shared" si="20"/>
        <v>rokwzgl=23 i lp=765</v>
      </c>
      <c r="AC89" s="28" t="str">
        <f t="shared" si="20"/>
        <v>rokwzgl=24 i lp=765</v>
      </c>
      <c r="AD89" s="28" t="str">
        <f t="shared" si="20"/>
        <v>rokwzgl=25 i lp=765</v>
      </c>
      <c r="AE89" s="28" t="str">
        <f t="shared" si="20"/>
        <v>rokwzgl=26 i lp=765</v>
      </c>
      <c r="AF89" s="28" t="str">
        <f t="shared" si="20"/>
        <v>rokwzgl=27 i lp=765</v>
      </c>
      <c r="AG89" s="28" t="str">
        <f t="shared" si="20"/>
        <v>rokwzgl=28 i lp=765</v>
      </c>
      <c r="AH89" s="28" t="str">
        <f t="shared" si="20"/>
        <v>rokwzgl=29 i lp=765</v>
      </c>
    </row>
    <row r="90" spans="1:34">
      <c r="A90" s="27">
        <v>766</v>
      </c>
      <c r="B90" s="27" t="s">
        <v>403</v>
      </c>
      <c r="C90" s="28" t="s">
        <v>400</v>
      </c>
      <c r="D90" s="28" t="str">
        <f t="shared" si="22"/>
        <v>rokwzgl=0 i lp=766</v>
      </c>
      <c r="E90" s="28" t="str">
        <f t="shared" si="22"/>
        <v>rokwzgl=0 i lp=766</v>
      </c>
      <c r="F90" s="28" t="str">
        <f t="shared" si="22"/>
        <v>rokwzgl=1 i lp=766</v>
      </c>
      <c r="G90" s="28" t="str">
        <f t="shared" si="22"/>
        <v>rokwzgl=2 i lp=766</v>
      </c>
      <c r="H90" s="28" t="str">
        <f t="shared" si="22"/>
        <v>rokwzgl=3 i lp=766</v>
      </c>
      <c r="I90" s="28" t="str">
        <f t="shared" si="22"/>
        <v>rokwzgl=4 i lp=766</v>
      </c>
      <c r="J90" s="28" t="str">
        <f t="shared" si="22"/>
        <v>rokwzgl=5 i lp=766</v>
      </c>
      <c r="K90" s="28" t="str">
        <f t="shared" si="22"/>
        <v>rokwzgl=6 i lp=766</v>
      </c>
      <c r="L90" s="28" t="str">
        <f t="shared" si="22"/>
        <v>rokwzgl=7 i lp=766</v>
      </c>
      <c r="M90" s="28" t="str">
        <f t="shared" si="22"/>
        <v>rokwzgl=8 i lp=766</v>
      </c>
      <c r="N90" s="28" t="str">
        <f t="shared" si="21"/>
        <v>rokwzgl=9 i lp=766</v>
      </c>
      <c r="O90" s="28" t="str">
        <f t="shared" si="21"/>
        <v>rokwzgl=10 i lp=766</v>
      </c>
      <c r="P90" s="28" t="str">
        <f t="shared" si="21"/>
        <v>rokwzgl=11 i lp=766</v>
      </c>
      <c r="Q90" s="28" t="str">
        <f t="shared" si="21"/>
        <v>rokwzgl=12 i lp=766</v>
      </c>
      <c r="R90" s="28" t="str">
        <f t="shared" si="21"/>
        <v>rokwzgl=13 i lp=766</v>
      </c>
      <c r="S90" s="28" t="str">
        <f t="shared" si="21"/>
        <v>rokwzgl=14 i lp=766</v>
      </c>
      <c r="T90" s="28" t="str">
        <f t="shared" si="21"/>
        <v>rokwzgl=15 i lp=766</v>
      </c>
      <c r="U90" s="28" t="str">
        <f t="shared" si="21"/>
        <v>rokwzgl=16 i lp=766</v>
      </c>
      <c r="V90" s="28" t="str">
        <f t="shared" si="21"/>
        <v>rokwzgl=17 i lp=766</v>
      </c>
      <c r="W90" s="28" t="str">
        <f t="shared" si="21"/>
        <v>rokwzgl=18 i lp=766</v>
      </c>
      <c r="X90" s="28" t="str">
        <f t="shared" si="20"/>
        <v>rokwzgl=19 i lp=766</v>
      </c>
      <c r="Y90" s="28" t="str">
        <f t="shared" si="20"/>
        <v>rokwzgl=20 i lp=766</v>
      </c>
      <c r="Z90" s="28" t="str">
        <f t="shared" si="20"/>
        <v>rokwzgl=21 i lp=766</v>
      </c>
      <c r="AA90" s="28" t="str">
        <f t="shared" si="20"/>
        <v>rokwzgl=22 i lp=766</v>
      </c>
      <c r="AB90" s="28" t="str">
        <f t="shared" si="20"/>
        <v>rokwzgl=23 i lp=766</v>
      </c>
      <c r="AC90" s="28" t="str">
        <f t="shared" si="20"/>
        <v>rokwzgl=24 i lp=766</v>
      </c>
      <c r="AD90" s="28" t="str">
        <f t="shared" si="20"/>
        <v>rokwzgl=25 i lp=766</v>
      </c>
      <c r="AE90" s="28" t="str">
        <f t="shared" si="20"/>
        <v>rokwzgl=26 i lp=766</v>
      </c>
      <c r="AF90" s="28" t="str">
        <f t="shared" si="20"/>
        <v>rokwzgl=27 i lp=766</v>
      </c>
      <c r="AG90" s="28" t="str">
        <f t="shared" si="20"/>
        <v>rokwzgl=28 i lp=766</v>
      </c>
      <c r="AH90" s="28" t="str">
        <f t="shared" si="20"/>
        <v>rokwzgl=29 i lp=766</v>
      </c>
    </row>
    <row r="91" spans="1:34">
      <c r="A91" s="27">
        <v>767</v>
      </c>
      <c r="B91" s="27" t="s">
        <v>404</v>
      </c>
      <c r="C91" s="28" t="s">
        <v>405</v>
      </c>
      <c r="D91" s="28" t="str">
        <f t="shared" si="22"/>
        <v>rokwzgl=0 i lp=767</v>
      </c>
      <c r="E91" s="28" t="str">
        <f t="shared" si="22"/>
        <v>rokwzgl=0 i lp=767</v>
      </c>
      <c r="F91" s="28" t="str">
        <f t="shared" si="22"/>
        <v>rokwzgl=1 i lp=767</v>
      </c>
      <c r="G91" s="28" t="str">
        <f t="shared" si="22"/>
        <v>rokwzgl=2 i lp=767</v>
      </c>
      <c r="H91" s="28" t="str">
        <f t="shared" si="22"/>
        <v>rokwzgl=3 i lp=767</v>
      </c>
      <c r="I91" s="28" t="str">
        <f t="shared" si="22"/>
        <v>rokwzgl=4 i lp=767</v>
      </c>
      <c r="J91" s="28" t="str">
        <f t="shared" si="22"/>
        <v>rokwzgl=5 i lp=767</v>
      </c>
      <c r="K91" s="28" t="str">
        <f t="shared" si="22"/>
        <v>rokwzgl=6 i lp=767</v>
      </c>
      <c r="L91" s="28" t="str">
        <f t="shared" si="22"/>
        <v>rokwzgl=7 i lp=767</v>
      </c>
      <c r="M91" s="28" t="str">
        <f t="shared" si="22"/>
        <v>rokwzgl=8 i lp=767</v>
      </c>
      <c r="N91" s="28" t="str">
        <f t="shared" si="21"/>
        <v>rokwzgl=9 i lp=767</v>
      </c>
      <c r="O91" s="28" t="str">
        <f t="shared" si="21"/>
        <v>rokwzgl=10 i lp=767</v>
      </c>
      <c r="P91" s="28" t="str">
        <f t="shared" si="21"/>
        <v>rokwzgl=11 i lp=767</v>
      </c>
      <c r="Q91" s="28" t="str">
        <f t="shared" si="21"/>
        <v>rokwzgl=12 i lp=767</v>
      </c>
      <c r="R91" s="28" t="str">
        <f t="shared" si="21"/>
        <v>rokwzgl=13 i lp=767</v>
      </c>
      <c r="S91" s="28" t="str">
        <f t="shared" si="21"/>
        <v>rokwzgl=14 i lp=767</v>
      </c>
      <c r="T91" s="28" t="str">
        <f t="shared" si="21"/>
        <v>rokwzgl=15 i lp=767</v>
      </c>
      <c r="U91" s="28" t="str">
        <f t="shared" si="21"/>
        <v>rokwzgl=16 i lp=767</v>
      </c>
      <c r="V91" s="28" t="str">
        <f t="shared" si="21"/>
        <v>rokwzgl=17 i lp=767</v>
      </c>
      <c r="W91" s="28" t="str">
        <f t="shared" si="21"/>
        <v>rokwzgl=18 i lp=767</v>
      </c>
      <c r="X91" s="28" t="str">
        <f t="shared" si="20"/>
        <v>rokwzgl=19 i lp=767</v>
      </c>
      <c r="Y91" s="28" t="str">
        <f t="shared" si="20"/>
        <v>rokwzgl=20 i lp=767</v>
      </c>
      <c r="Z91" s="28" t="str">
        <f t="shared" si="20"/>
        <v>rokwzgl=21 i lp=767</v>
      </c>
      <c r="AA91" s="28" t="str">
        <f t="shared" si="20"/>
        <v>rokwzgl=22 i lp=767</v>
      </c>
      <c r="AB91" s="28" t="str">
        <f t="shared" si="20"/>
        <v>rokwzgl=23 i lp=767</v>
      </c>
      <c r="AC91" s="28" t="str">
        <f t="shared" si="20"/>
        <v>rokwzgl=24 i lp=767</v>
      </c>
      <c r="AD91" s="28" t="str">
        <f t="shared" si="20"/>
        <v>rokwzgl=25 i lp=767</v>
      </c>
      <c r="AE91" s="28" t="str">
        <f t="shared" si="20"/>
        <v>rokwzgl=26 i lp=767</v>
      </c>
      <c r="AF91" s="28" t="str">
        <f t="shared" si="20"/>
        <v>rokwzgl=27 i lp=767</v>
      </c>
      <c r="AG91" s="28" t="str">
        <f t="shared" si="20"/>
        <v>rokwzgl=28 i lp=767</v>
      </c>
      <c r="AH91" s="28" t="str">
        <f t="shared" si="20"/>
        <v>rokwzgl=29 i lp=767</v>
      </c>
    </row>
    <row r="92" spans="1:34">
      <c r="A92" s="27">
        <v>768</v>
      </c>
      <c r="B92" s="27" t="s">
        <v>406</v>
      </c>
      <c r="C92" s="28" t="s">
        <v>400</v>
      </c>
      <c r="D92" s="28" t="str">
        <f t="shared" si="22"/>
        <v>rokwzgl=0 i lp=768</v>
      </c>
      <c r="E92" s="28" t="str">
        <f t="shared" si="22"/>
        <v>rokwzgl=0 i lp=768</v>
      </c>
      <c r="F92" s="28" t="str">
        <f t="shared" si="22"/>
        <v>rokwzgl=1 i lp=768</v>
      </c>
      <c r="G92" s="28" t="str">
        <f t="shared" si="22"/>
        <v>rokwzgl=2 i lp=768</v>
      </c>
      <c r="H92" s="28" t="str">
        <f t="shared" si="22"/>
        <v>rokwzgl=3 i lp=768</v>
      </c>
      <c r="I92" s="28" t="str">
        <f t="shared" si="22"/>
        <v>rokwzgl=4 i lp=768</v>
      </c>
      <c r="J92" s="28" t="str">
        <f t="shared" si="22"/>
        <v>rokwzgl=5 i lp=768</v>
      </c>
      <c r="K92" s="28" t="str">
        <f t="shared" si="22"/>
        <v>rokwzgl=6 i lp=768</v>
      </c>
      <c r="L92" s="28" t="str">
        <f t="shared" si="22"/>
        <v>rokwzgl=7 i lp=768</v>
      </c>
      <c r="M92" s="28" t="str">
        <f t="shared" si="22"/>
        <v>rokwzgl=8 i lp=768</v>
      </c>
      <c r="N92" s="28" t="str">
        <f t="shared" si="21"/>
        <v>rokwzgl=9 i lp=768</v>
      </c>
      <c r="O92" s="28" t="str">
        <f t="shared" si="21"/>
        <v>rokwzgl=10 i lp=768</v>
      </c>
      <c r="P92" s="28" t="str">
        <f t="shared" si="21"/>
        <v>rokwzgl=11 i lp=768</v>
      </c>
      <c r="Q92" s="28" t="str">
        <f t="shared" si="21"/>
        <v>rokwzgl=12 i lp=768</v>
      </c>
      <c r="R92" s="28" t="str">
        <f t="shared" si="21"/>
        <v>rokwzgl=13 i lp=768</v>
      </c>
      <c r="S92" s="28" t="str">
        <f t="shared" si="21"/>
        <v>rokwzgl=14 i lp=768</v>
      </c>
      <c r="T92" s="28" t="str">
        <f t="shared" si="21"/>
        <v>rokwzgl=15 i lp=768</v>
      </c>
      <c r="U92" s="28" t="str">
        <f t="shared" si="21"/>
        <v>rokwzgl=16 i lp=768</v>
      </c>
      <c r="V92" s="28" t="str">
        <f t="shared" si="21"/>
        <v>rokwzgl=17 i lp=768</v>
      </c>
      <c r="W92" s="28" t="str">
        <f t="shared" si="21"/>
        <v>rokwzgl=18 i lp=768</v>
      </c>
      <c r="X92" s="28" t="str">
        <f t="shared" si="20"/>
        <v>rokwzgl=19 i lp=768</v>
      </c>
      <c r="Y92" s="28" t="str">
        <f t="shared" si="20"/>
        <v>rokwzgl=20 i lp=768</v>
      </c>
      <c r="Z92" s="28" t="str">
        <f t="shared" si="20"/>
        <v>rokwzgl=21 i lp=768</v>
      </c>
      <c r="AA92" s="28" t="str">
        <f t="shared" si="20"/>
        <v>rokwzgl=22 i lp=768</v>
      </c>
      <c r="AB92" s="28" t="str">
        <f t="shared" si="20"/>
        <v>rokwzgl=23 i lp=768</v>
      </c>
      <c r="AC92" s="28" t="str">
        <f t="shared" si="20"/>
        <v>rokwzgl=24 i lp=768</v>
      </c>
      <c r="AD92" s="28" t="str">
        <f t="shared" si="20"/>
        <v>rokwzgl=25 i lp=768</v>
      </c>
      <c r="AE92" s="28" t="str">
        <f t="shared" si="20"/>
        <v>rokwzgl=26 i lp=768</v>
      </c>
      <c r="AF92" s="28" t="str">
        <f t="shared" si="20"/>
        <v>rokwzgl=27 i lp=768</v>
      </c>
      <c r="AG92" s="28" t="str">
        <f t="shared" si="20"/>
        <v>rokwzgl=28 i lp=768</v>
      </c>
      <c r="AH92" s="28" t="str">
        <f t="shared" si="20"/>
        <v>rokwzgl=29 i lp=768</v>
      </c>
    </row>
    <row r="93" spans="1:34">
      <c r="A93" s="27">
        <v>769</v>
      </c>
      <c r="B93" s="27" t="s">
        <v>407</v>
      </c>
      <c r="C93" s="28" t="s">
        <v>408</v>
      </c>
      <c r="D93" s="28" t="str">
        <f t="shared" si="22"/>
        <v>rokwzgl=0 i lp=769</v>
      </c>
      <c r="E93" s="28" t="str">
        <f t="shared" si="22"/>
        <v>rokwzgl=0 i lp=769</v>
      </c>
      <c r="F93" s="28" t="str">
        <f t="shared" si="22"/>
        <v>rokwzgl=1 i lp=769</v>
      </c>
      <c r="G93" s="28" t="str">
        <f t="shared" si="22"/>
        <v>rokwzgl=2 i lp=769</v>
      </c>
      <c r="H93" s="28" t="str">
        <f t="shared" si="22"/>
        <v>rokwzgl=3 i lp=769</v>
      </c>
      <c r="I93" s="28" t="str">
        <f t="shared" si="22"/>
        <v>rokwzgl=4 i lp=769</v>
      </c>
      <c r="J93" s="28" t="str">
        <f t="shared" si="22"/>
        <v>rokwzgl=5 i lp=769</v>
      </c>
      <c r="K93" s="28" t="str">
        <f t="shared" si="22"/>
        <v>rokwzgl=6 i lp=769</v>
      </c>
      <c r="L93" s="28" t="str">
        <f t="shared" si="22"/>
        <v>rokwzgl=7 i lp=769</v>
      </c>
      <c r="M93" s="28" t="str">
        <f t="shared" si="22"/>
        <v>rokwzgl=8 i lp=769</v>
      </c>
      <c r="N93" s="28" t="str">
        <f t="shared" si="21"/>
        <v>rokwzgl=9 i lp=769</v>
      </c>
      <c r="O93" s="28" t="str">
        <f t="shared" si="21"/>
        <v>rokwzgl=10 i lp=769</v>
      </c>
      <c r="P93" s="28" t="str">
        <f t="shared" si="21"/>
        <v>rokwzgl=11 i lp=769</v>
      </c>
      <c r="Q93" s="28" t="str">
        <f t="shared" si="21"/>
        <v>rokwzgl=12 i lp=769</v>
      </c>
      <c r="R93" s="28" t="str">
        <f t="shared" si="21"/>
        <v>rokwzgl=13 i lp=769</v>
      </c>
      <c r="S93" s="28" t="str">
        <f t="shared" si="21"/>
        <v>rokwzgl=14 i lp=769</v>
      </c>
      <c r="T93" s="28" t="str">
        <f t="shared" si="21"/>
        <v>rokwzgl=15 i lp=769</v>
      </c>
      <c r="U93" s="28" t="str">
        <f t="shared" si="21"/>
        <v>rokwzgl=16 i lp=769</v>
      </c>
      <c r="V93" s="28" t="str">
        <f t="shared" si="21"/>
        <v>rokwzgl=17 i lp=769</v>
      </c>
      <c r="W93" s="28" t="str">
        <f t="shared" si="21"/>
        <v>rokwzgl=18 i lp=769</v>
      </c>
      <c r="X93" s="28" t="str">
        <f t="shared" si="20"/>
        <v>rokwzgl=19 i lp=769</v>
      </c>
      <c r="Y93" s="28" t="str">
        <f t="shared" si="20"/>
        <v>rokwzgl=20 i lp=769</v>
      </c>
      <c r="Z93" s="28" t="str">
        <f t="shared" si="20"/>
        <v>rokwzgl=21 i lp=769</v>
      </c>
      <c r="AA93" s="28" t="str">
        <f t="shared" si="20"/>
        <v>rokwzgl=22 i lp=769</v>
      </c>
      <c r="AB93" s="28" t="str">
        <f t="shared" si="20"/>
        <v>rokwzgl=23 i lp=769</v>
      </c>
      <c r="AC93" s="28" t="str">
        <f t="shared" si="20"/>
        <v>rokwzgl=24 i lp=769</v>
      </c>
      <c r="AD93" s="28" t="str">
        <f t="shared" si="20"/>
        <v>rokwzgl=25 i lp=769</v>
      </c>
      <c r="AE93" s="28" t="str">
        <f t="shared" si="20"/>
        <v>rokwzgl=26 i lp=769</v>
      </c>
      <c r="AF93" s="28" t="str">
        <f t="shared" si="20"/>
        <v>rokwzgl=27 i lp=769</v>
      </c>
      <c r="AG93" s="28" t="str">
        <f t="shared" si="20"/>
        <v>rokwzgl=28 i lp=769</v>
      </c>
      <c r="AH93" s="28" t="str">
        <f t="shared" si="20"/>
        <v>rokwzgl=29 i lp=769</v>
      </c>
    </row>
    <row r="94" spans="1:34">
      <c r="A94" s="27">
        <v>770</v>
      </c>
      <c r="B94" s="27" t="s">
        <v>409</v>
      </c>
      <c r="C94" s="28" t="s">
        <v>400</v>
      </c>
      <c r="D94" s="28" t="str">
        <f t="shared" si="22"/>
        <v>rokwzgl=0 i lp=770</v>
      </c>
      <c r="E94" s="28" t="str">
        <f t="shared" si="22"/>
        <v>rokwzgl=0 i lp=770</v>
      </c>
      <c r="F94" s="28" t="str">
        <f t="shared" si="22"/>
        <v>rokwzgl=1 i lp=770</v>
      </c>
      <c r="G94" s="28" t="str">
        <f t="shared" si="22"/>
        <v>rokwzgl=2 i lp=770</v>
      </c>
      <c r="H94" s="28" t="str">
        <f t="shared" si="22"/>
        <v>rokwzgl=3 i lp=770</v>
      </c>
      <c r="I94" s="28" t="str">
        <f t="shared" si="22"/>
        <v>rokwzgl=4 i lp=770</v>
      </c>
      <c r="J94" s="28" t="str">
        <f t="shared" si="22"/>
        <v>rokwzgl=5 i lp=770</v>
      </c>
      <c r="K94" s="28" t="str">
        <f t="shared" si="22"/>
        <v>rokwzgl=6 i lp=770</v>
      </c>
      <c r="L94" s="28" t="str">
        <f t="shared" si="22"/>
        <v>rokwzgl=7 i lp=770</v>
      </c>
      <c r="M94" s="28" t="str">
        <f t="shared" si="22"/>
        <v>rokwzgl=8 i lp=770</v>
      </c>
      <c r="N94" s="28" t="str">
        <f t="shared" si="21"/>
        <v>rokwzgl=9 i lp=770</v>
      </c>
      <c r="O94" s="28" t="str">
        <f t="shared" si="21"/>
        <v>rokwzgl=10 i lp=770</v>
      </c>
      <c r="P94" s="28" t="str">
        <f t="shared" si="21"/>
        <v>rokwzgl=11 i lp=770</v>
      </c>
      <c r="Q94" s="28" t="str">
        <f t="shared" si="21"/>
        <v>rokwzgl=12 i lp=770</v>
      </c>
      <c r="R94" s="28" t="str">
        <f t="shared" si="21"/>
        <v>rokwzgl=13 i lp=770</v>
      </c>
      <c r="S94" s="28" t="str">
        <f t="shared" si="21"/>
        <v>rokwzgl=14 i lp=770</v>
      </c>
      <c r="T94" s="28" t="str">
        <f t="shared" si="21"/>
        <v>rokwzgl=15 i lp=770</v>
      </c>
      <c r="U94" s="28" t="str">
        <f t="shared" si="21"/>
        <v>rokwzgl=16 i lp=770</v>
      </c>
      <c r="V94" s="28" t="str">
        <f t="shared" si="21"/>
        <v>rokwzgl=17 i lp=770</v>
      </c>
      <c r="W94" s="28" t="str">
        <f t="shared" si="21"/>
        <v>rokwzgl=18 i lp=770</v>
      </c>
      <c r="X94" s="28" t="str">
        <f t="shared" si="20"/>
        <v>rokwzgl=19 i lp=770</v>
      </c>
      <c r="Y94" s="28" t="str">
        <f t="shared" si="20"/>
        <v>rokwzgl=20 i lp=770</v>
      </c>
      <c r="Z94" s="28" t="str">
        <f t="shared" si="20"/>
        <v>rokwzgl=21 i lp=770</v>
      </c>
      <c r="AA94" s="28" t="str">
        <f t="shared" si="20"/>
        <v>rokwzgl=22 i lp=770</v>
      </c>
      <c r="AB94" s="28" t="str">
        <f t="shared" si="20"/>
        <v>rokwzgl=23 i lp=770</v>
      </c>
      <c r="AC94" s="28" t="str">
        <f t="shared" si="20"/>
        <v>rokwzgl=24 i lp=770</v>
      </c>
      <c r="AD94" s="28" t="str">
        <f t="shared" si="20"/>
        <v>rokwzgl=25 i lp=770</v>
      </c>
      <c r="AE94" s="28" t="str">
        <f t="shared" si="20"/>
        <v>rokwzgl=26 i lp=770</v>
      </c>
      <c r="AF94" s="28" t="str">
        <f t="shared" si="20"/>
        <v>rokwzgl=27 i lp=770</v>
      </c>
      <c r="AG94" s="28" t="str">
        <f t="shared" si="20"/>
        <v>rokwzgl=28 i lp=770</v>
      </c>
      <c r="AH94" s="28" t="str">
        <f t="shared" si="20"/>
        <v>rokwzgl=29 i lp=770</v>
      </c>
    </row>
    <row r="95" spans="1:34">
      <c r="A95" s="27">
        <v>790</v>
      </c>
      <c r="B95" s="27">
        <v>13</v>
      </c>
      <c r="C95" s="28" t="s">
        <v>118</v>
      </c>
      <c r="D95" s="28" t="str">
        <f t="shared" si="22"/>
        <v>rokwzgl=0 i lp=790</v>
      </c>
      <c r="E95" s="28" t="str">
        <f t="shared" si="22"/>
        <v>rokwzgl=0 i lp=790</v>
      </c>
      <c r="F95" s="28" t="str">
        <f t="shared" si="22"/>
        <v>rokwzgl=1 i lp=790</v>
      </c>
      <c r="G95" s="28" t="str">
        <f t="shared" si="22"/>
        <v>rokwzgl=2 i lp=790</v>
      </c>
      <c r="H95" s="28" t="str">
        <f t="shared" si="22"/>
        <v>rokwzgl=3 i lp=790</v>
      </c>
      <c r="I95" s="28" t="str">
        <f t="shared" si="22"/>
        <v>rokwzgl=4 i lp=790</v>
      </c>
      <c r="J95" s="28" t="str">
        <f t="shared" si="22"/>
        <v>rokwzgl=5 i lp=790</v>
      </c>
      <c r="K95" s="28" t="str">
        <f t="shared" si="22"/>
        <v>rokwzgl=6 i lp=790</v>
      </c>
      <c r="L95" s="28" t="str">
        <f t="shared" si="22"/>
        <v>rokwzgl=7 i lp=790</v>
      </c>
      <c r="M95" s="28" t="str">
        <f t="shared" si="22"/>
        <v>rokwzgl=8 i lp=790</v>
      </c>
      <c r="N95" s="28" t="str">
        <f t="shared" si="21"/>
        <v>rokwzgl=9 i lp=790</v>
      </c>
      <c r="O95" s="28" t="str">
        <f t="shared" si="21"/>
        <v>rokwzgl=10 i lp=790</v>
      </c>
      <c r="P95" s="28" t="str">
        <f t="shared" si="21"/>
        <v>rokwzgl=11 i lp=790</v>
      </c>
      <c r="Q95" s="28" t="str">
        <f t="shared" si="21"/>
        <v>rokwzgl=12 i lp=790</v>
      </c>
      <c r="R95" s="28" t="str">
        <f t="shared" si="21"/>
        <v>rokwzgl=13 i lp=790</v>
      </c>
      <c r="S95" s="28" t="str">
        <f t="shared" si="21"/>
        <v>rokwzgl=14 i lp=790</v>
      </c>
      <c r="T95" s="28" t="str">
        <f t="shared" si="21"/>
        <v>rokwzgl=15 i lp=790</v>
      </c>
      <c r="U95" s="28" t="str">
        <f t="shared" si="21"/>
        <v>rokwzgl=16 i lp=790</v>
      </c>
      <c r="V95" s="28" t="str">
        <f t="shared" si="21"/>
        <v>rokwzgl=17 i lp=790</v>
      </c>
      <c r="W95" s="28" t="str">
        <f t="shared" si="21"/>
        <v>rokwzgl=18 i lp=790</v>
      </c>
      <c r="X95" s="28" t="str">
        <f t="shared" si="20"/>
        <v>rokwzgl=19 i lp=790</v>
      </c>
      <c r="Y95" s="28" t="str">
        <f t="shared" si="20"/>
        <v>rokwzgl=20 i lp=790</v>
      </c>
      <c r="Z95" s="28" t="str">
        <f t="shared" si="20"/>
        <v>rokwzgl=21 i lp=790</v>
      </c>
      <c r="AA95" s="28" t="str">
        <f t="shared" si="20"/>
        <v>rokwzgl=22 i lp=790</v>
      </c>
      <c r="AB95" s="28" t="str">
        <f t="shared" si="20"/>
        <v>rokwzgl=23 i lp=790</v>
      </c>
      <c r="AC95" s="28" t="str">
        <f t="shared" si="20"/>
        <v>rokwzgl=24 i lp=790</v>
      </c>
      <c r="AD95" s="28" t="str">
        <f t="shared" si="20"/>
        <v>rokwzgl=25 i lp=790</v>
      </c>
      <c r="AE95" s="28" t="str">
        <f t="shared" si="20"/>
        <v>rokwzgl=26 i lp=790</v>
      </c>
      <c r="AF95" s="28" t="str">
        <f t="shared" si="20"/>
        <v>rokwzgl=27 i lp=790</v>
      </c>
      <c r="AG95" s="28" t="str">
        <f t="shared" si="20"/>
        <v>rokwzgl=28 i lp=790</v>
      </c>
      <c r="AH95" s="28" t="str">
        <f t="shared" si="20"/>
        <v>rokwzgl=29 i lp=790</v>
      </c>
    </row>
    <row r="96" spans="1:34">
      <c r="A96" s="27">
        <v>800</v>
      </c>
      <c r="B96" s="27" t="s">
        <v>168</v>
      </c>
      <c r="C96" s="28" t="s">
        <v>119</v>
      </c>
      <c r="D96" s="28" t="str">
        <f t="shared" si="22"/>
        <v>rokwzgl=0 i lp=800</v>
      </c>
      <c r="E96" s="28" t="str">
        <f t="shared" si="22"/>
        <v>rokwzgl=0 i lp=800</v>
      </c>
      <c r="F96" s="28" t="str">
        <f t="shared" si="22"/>
        <v>rokwzgl=1 i lp=800</v>
      </c>
      <c r="G96" s="28" t="str">
        <f t="shared" si="22"/>
        <v>rokwzgl=2 i lp=800</v>
      </c>
      <c r="H96" s="28" t="str">
        <f t="shared" si="22"/>
        <v>rokwzgl=3 i lp=800</v>
      </c>
      <c r="I96" s="28" t="str">
        <f t="shared" si="22"/>
        <v>rokwzgl=4 i lp=800</v>
      </c>
      <c r="J96" s="28" t="str">
        <f t="shared" si="22"/>
        <v>rokwzgl=5 i lp=800</v>
      </c>
      <c r="K96" s="28" t="str">
        <f t="shared" si="22"/>
        <v>rokwzgl=6 i lp=800</v>
      </c>
      <c r="L96" s="28" t="str">
        <f t="shared" si="22"/>
        <v>rokwzgl=7 i lp=800</v>
      </c>
      <c r="M96" s="28" t="str">
        <f t="shared" si="22"/>
        <v>rokwzgl=8 i lp=800</v>
      </c>
      <c r="N96" s="28" t="str">
        <f t="shared" si="21"/>
        <v>rokwzgl=9 i lp=800</v>
      </c>
      <c r="O96" s="28" t="str">
        <f t="shared" si="21"/>
        <v>rokwzgl=10 i lp=800</v>
      </c>
      <c r="P96" s="28" t="str">
        <f t="shared" si="21"/>
        <v>rokwzgl=11 i lp=800</v>
      </c>
      <c r="Q96" s="28" t="str">
        <f t="shared" si="21"/>
        <v>rokwzgl=12 i lp=800</v>
      </c>
      <c r="R96" s="28" t="str">
        <f t="shared" si="21"/>
        <v>rokwzgl=13 i lp=800</v>
      </c>
      <c r="S96" s="28" t="str">
        <f t="shared" si="21"/>
        <v>rokwzgl=14 i lp=800</v>
      </c>
      <c r="T96" s="28" t="str">
        <f t="shared" si="21"/>
        <v>rokwzgl=15 i lp=800</v>
      </c>
      <c r="U96" s="28" t="str">
        <f t="shared" si="21"/>
        <v>rokwzgl=16 i lp=800</v>
      </c>
      <c r="V96" s="28" t="str">
        <f t="shared" si="21"/>
        <v>rokwzgl=17 i lp=800</v>
      </c>
      <c r="W96" s="28" t="str">
        <f t="shared" si="21"/>
        <v>rokwzgl=18 i lp=800</v>
      </c>
      <c r="X96" s="28" t="str">
        <f t="shared" si="20"/>
        <v>rokwzgl=19 i lp=800</v>
      </c>
      <c r="Y96" s="28" t="str">
        <f t="shared" si="20"/>
        <v>rokwzgl=20 i lp=800</v>
      </c>
      <c r="Z96" s="28" t="str">
        <f t="shared" si="20"/>
        <v>rokwzgl=21 i lp=800</v>
      </c>
      <c r="AA96" s="28" t="str">
        <f t="shared" si="20"/>
        <v>rokwzgl=22 i lp=800</v>
      </c>
      <c r="AB96" s="28" t="str">
        <f t="shared" si="20"/>
        <v>rokwzgl=23 i lp=800</v>
      </c>
      <c r="AC96" s="28" t="str">
        <f t="shared" si="20"/>
        <v>rokwzgl=24 i lp=800</v>
      </c>
      <c r="AD96" s="28" t="str">
        <f t="shared" si="20"/>
        <v>rokwzgl=25 i lp=800</v>
      </c>
      <c r="AE96" s="28" t="str">
        <f t="shared" si="20"/>
        <v>rokwzgl=26 i lp=800</v>
      </c>
      <c r="AF96" s="28" t="str">
        <f t="shared" si="20"/>
        <v>rokwzgl=27 i lp=800</v>
      </c>
      <c r="AG96" s="28" t="str">
        <f t="shared" si="20"/>
        <v>rokwzgl=28 i lp=800</v>
      </c>
      <c r="AH96" s="28" t="str">
        <f t="shared" si="20"/>
        <v>rokwzgl=29 i lp=800</v>
      </c>
    </row>
    <row r="97" spans="1:34">
      <c r="A97" s="27">
        <v>810</v>
      </c>
      <c r="B97" s="27" t="s">
        <v>169</v>
      </c>
      <c r="C97" s="28" t="s">
        <v>120</v>
      </c>
      <c r="D97" s="28" t="str">
        <f t="shared" si="22"/>
        <v>rokwzgl=0 i lp=810</v>
      </c>
      <c r="E97" s="28" t="str">
        <f t="shared" si="22"/>
        <v>rokwzgl=0 i lp=810</v>
      </c>
      <c r="F97" s="28" t="str">
        <f t="shared" si="22"/>
        <v>rokwzgl=1 i lp=810</v>
      </c>
      <c r="G97" s="28" t="str">
        <f t="shared" si="22"/>
        <v>rokwzgl=2 i lp=810</v>
      </c>
      <c r="H97" s="28" t="str">
        <f t="shared" si="22"/>
        <v>rokwzgl=3 i lp=810</v>
      </c>
      <c r="I97" s="28" t="str">
        <f t="shared" si="22"/>
        <v>rokwzgl=4 i lp=810</v>
      </c>
      <c r="J97" s="28" t="str">
        <f t="shared" si="22"/>
        <v>rokwzgl=5 i lp=810</v>
      </c>
      <c r="K97" s="28" t="str">
        <f t="shared" si="22"/>
        <v>rokwzgl=6 i lp=810</v>
      </c>
      <c r="L97" s="28" t="str">
        <f t="shared" si="22"/>
        <v>rokwzgl=7 i lp=810</v>
      </c>
      <c r="M97" s="28" t="str">
        <f t="shared" si="22"/>
        <v>rokwzgl=8 i lp=810</v>
      </c>
      <c r="N97" s="28" t="str">
        <f t="shared" si="21"/>
        <v>rokwzgl=9 i lp=810</v>
      </c>
      <c r="O97" s="28" t="str">
        <f t="shared" si="21"/>
        <v>rokwzgl=10 i lp=810</v>
      </c>
      <c r="P97" s="28" t="str">
        <f t="shared" si="21"/>
        <v>rokwzgl=11 i lp=810</v>
      </c>
      <c r="Q97" s="28" t="str">
        <f t="shared" si="21"/>
        <v>rokwzgl=12 i lp=810</v>
      </c>
      <c r="R97" s="28" t="str">
        <f t="shared" si="21"/>
        <v>rokwzgl=13 i lp=810</v>
      </c>
      <c r="S97" s="28" t="str">
        <f t="shared" si="21"/>
        <v>rokwzgl=14 i lp=810</v>
      </c>
      <c r="T97" s="28" t="str">
        <f t="shared" si="21"/>
        <v>rokwzgl=15 i lp=810</v>
      </c>
      <c r="U97" s="28" t="str">
        <f t="shared" si="21"/>
        <v>rokwzgl=16 i lp=810</v>
      </c>
      <c r="V97" s="28" t="str">
        <f t="shared" si="21"/>
        <v>rokwzgl=17 i lp=810</v>
      </c>
      <c r="W97" s="28" t="str">
        <f t="shared" si="21"/>
        <v>rokwzgl=18 i lp=810</v>
      </c>
      <c r="X97" s="28" t="str">
        <f t="shared" si="20"/>
        <v>rokwzgl=19 i lp=810</v>
      </c>
      <c r="Y97" s="28" t="str">
        <f t="shared" si="20"/>
        <v>rokwzgl=20 i lp=810</v>
      </c>
      <c r="Z97" s="28" t="str">
        <f t="shared" si="20"/>
        <v>rokwzgl=21 i lp=810</v>
      </c>
      <c r="AA97" s="28" t="str">
        <f t="shared" si="20"/>
        <v>rokwzgl=22 i lp=810</v>
      </c>
      <c r="AB97" s="28" t="str">
        <f t="shared" si="20"/>
        <v>rokwzgl=23 i lp=810</v>
      </c>
      <c r="AC97" s="28" t="str">
        <f t="shared" si="20"/>
        <v>rokwzgl=24 i lp=810</v>
      </c>
      <c r="AD97" s="28" t="str">
        <f t="shared" si="20"/>
        <v>rokwzgl=25 i lp=810</v>
      </c>
      <c r="AE97" s="28" t="str">
        <f t="shared" si="20"/>
        <v>rokwzgl=26 i lp=810</v>
      </c>
      <c r="AF97" s="28" t="str">
        <f t="shared" si="20"/>
        <v>rokwzgl=27 i lp=810</v>
      </c>
      <c r="AG97" s="28" t="str">
        <f t="shared" si="20"/>
        <v>rokwzgl=28 i lp=810</v>
      </c>
      <c r="AH97" s="28" t="str">
        <f t="shared" si="20"/>
        <v>rokwzgl=29 i lp=810</v>
      </c>
    </row>
    <row r="98" spans="1:34">
      <c r="A98" s="27">
        <v>820</v>
      </c>
      <c r="B98" s="27" t="s">
        <v>170</v>
      </c>
      <c r="C98" s="28" t="s">
        <v>121</v>
      </c>
      <c r="D98" s="28" t="str">
        <f t="shared" si="22"/>
        <v>rokwzgl=0 i lp=820</v>
      </c>
      <c r="E98" s="28" t="str">
        <f t="shared" si="22"/>
        <v>rokwzgl=0 i lp=820</v>
      </c>
      <c r="F98" s="28" t="str">
        <f t="shared" si="22"/>
        <v>rokwzgl=1 i lp=820</v>
      </c>
      <c r="G98" s="28" t="str">
        <f t="shared" si="22"/>
        <v>rokwzgl=2 i lp=820</v>
      </c>
      <c r="H98" s="28" t="str">
        <f t="shared" si="22"/>
        <v>rokwzgl=3 i lp=820</v>
      </c>
      <c r="I98" s="28" t="str">
        <f t="shared" si="22"/>
        <v>rokwzgl=4 i lp=820</v>
      </c>
      <c r="J98" s="28" t="str">
        <f t="shared" si="22"/>
        <v>rokwzgl=5 i lp=820</v>
      </c>
      <c r="K98" s="28" t="str">
        <f t="shared" si="22"/>
        <v>rokwzgl=6 i lp=820</v>
      </c>
      <c r="L98" s="28" t="str">
        <f t="shared" si="22"/>
        <v>rokwzgl=7 i lp=820</v>
      </c>
      <c r="M98" s="28" t="str">
        <f t="shared" si="22"/>
        <v>rokwzgl=8 i lp=820</v>
      </c>
      <c r="N98" s="28" t="str">
        <f t="shared" si="21"/>
        <v>rokwzgl=9 i lp=820</v>
      </c>
      <c r="O98" s="28" t="str">
        <f t="shared" si="21"/>
        <v>rokwzgl=10 i lp=820</v>
      </c>
      <c r="P98" s="28" t="str">
        <f t="shared" si="21"/>
        <v>rokwzgl=11 i lp=820</v>
      </c>
      <c r="Q98" s="28" t="str">
        <f t="shared" si="21"/>
        <v>rokwzgl=12 i lp=820</v>
      </c>
      <c r="R98" s="28" t="str">
        <f t="shared" si="21"/>
        <v>rokwzgl=13 i lp=820</v>
      </c>
      <c r="S98" s="28" t="str">
        <f t="shared" si="21"/>
        <v>rokwzgl=14 i lp=820</v>
      </c>
      <c r="T98" s="28" t="str">
        <f t="shared" si="21"/>
        <v>rokwzgl=15 i lp=820</v>
      </c>
      <c r="U98" s="28" t="str">
        <f t="shared" si="21"/>
        <v>rokwzgl=16 i lp=820</v>
      </c>
      <c r="V98" s="28" t="str">
        <f t="shared" si="21"/>
        <v>rokwzgl=17 i lp=820</v>
      </c>
      <c r="W98" s="28" t="str">
        <f t="shared" si="21"/>
        <v>rokwzgl=18 i lp=820</v>
      </c>
      <c r="X98" s="28" t="str">
        <f t="shared" si="20"/>
        <v>rokwzgl=19 i lp=820</v>
      </c>
      <c r="Y98" s="28" t="str">
        <f t="shared" si="20"/>
        <v>rokwzgl=20 i lp=820</v>
      </c>
      <c r="Z98" s="28" t="str">
        <f t="shared" si="20"/>
        <v>rokwzgl=21 i lp=820</v>
      </c>
      <c r="AA98" s="28" t="str">
        <f t="shared" si="20"/>
        <v>rokwzgl=22 i lp=820</v>
      </c>
      <c r="AB98" s="28" t="str">
        <f t="shared" si="20"/>
        <v>rokwzgl=23 i lp=820</v>
      </c>
      <c r="AC98" s="28" t="str">
        <f t="shared" si="20"/>
        <v>rokwzgl=24 i lp=820</v>
      </c>
      <c r="AD98" s="28" t="str">
        <f t="shared" si="20"/>
        <v>rokwzgl=25 i lp=820</v>
      </c>
      <c r="AE98" s="28" t="str">
        <f t="shared" si="20"/>
        <v>rokwzgl=26 i lp=820</v>
      </c>
      <c r="AF98" s="28" t="str">
        <f t="shared" si="20"/>
        <v>rokwzgl=27 i lp=820</v>
      </c>
      <c r="AG98" s="28" t="str">
        <f t="shared" si="20"/>
        <v>rokwzgl=28 i lp=820</v>
      </c>
      <c r="AH98" s="28" t="str">
        <f t="shared" si="20"/>
        <v>rokwzgl=29 i lp=820</v>
      </c>
    </row>
    <row r="99" spans="1:34">
      <c r="A99" s="27">
        <v>830</v>
      </c>
      <c r="B99" s="27" t="s">
        <v>171</v>
      </c>
      <c r="C99" s="28" t="s">
        <v>122</v>
      </c>
      <c r="D99" s="28" t="str">
        <f t="shared" si="22"/>
        <v>rokwzgl=0 i lp=830</v>
      </c>
      <c r="E99" s="28" t="str">
        <f t="shared" si="22"/>
        <v>rokwzgl=0 i lp=830</v>
      </c>
      <c r="F99" s="28" t="str">
        <f t="shared" si="22"/>
        <v>rokwzgl=1 i lp=830</v>
      </c>
      <c r="G99" s="28" t="str">
        <f t="shared" si="22"/>
        <v>rokwzgl=2 i lp=830</v>
      </c>
      <c r="H99" s="28" t="str">
        <f t="shared" si="22"/>
        <v>rokwzgl=3 i lp=830</v>
      </c>
      <c r="I99" s="28" t="str">
        <f t="shared" si="22"/>
        <v>rokwzgl=4 i lp=830</v>
      </c>
      <c r="J99" s="28" t="str">
        <f t="shared" si="22"/>
        <v>rokwzgl=5 i lp=830</v>
      </c>
      <c r="K99" s="28" t="str">
        <f t="shared" si="22"/>
        <v>rokwzgl=6 i lp=830</v>
      </c>
      <c r="L99" s="28" t="str">
        <f t="shared" si="22"/>
        <v>rokwzgl=7 i lp=830</v>
      </c>
      <c r="M99" s="28" t="str">
        <f t="shared" si="22"/>
        <v>rokwzgl=8 i lp=830</v>
      </c>
      <c r="N99" s="28" t="str">
        <f t="shared" si="21"/>
        <v>rokwzgl=9 i lp=830</v>
      </c>
      <c r="O99" s="28" t="str">
        <f t="shared" si="21"/>
        <v>rokwzgl=10 i lp=830</v>
      </c>
      <c r="P99" s="28" t="str">
        <f t="shared" si="21"/>
        <v>rokwzgl=11 i lp=830</v>
      </c>
      <c r="Q99" s="28" t="str">
        <f t="shared" si="21"/>
        <v>rokwzgl=12 i lp=830</v>
      </c>
      <c r="R99" s="28" t="str">
        <f t="shared" si="21"/>
        <v>rokwzgl=13 i lp=830</v>
      </c>
      <c r="S99" s="28" t="str">
        <f t="shared" si="21"/>
        <v>rokwzgl=14 i lp=830</v>
      </c>
      <c r="T99" s="28" t="str">
        <f t="shared" si="21"/>
        <v>rokwzgl=15 i lp=830</v>
      </c>
      <c r="U99" s="28" t="str">
        <f t="shared" si="21"/>
        <v>rokwzgl=16 i lp=830</v>
      </c>
      <c r="V99" s="28" t="str">
        <f t="shared" si="21"/>
        <v>rokwzgl=17 i lp=830</v>
      </c>
      <c r="W99" s="28" t="str">
        <f t="shared" si="21"/>
        <v>rokwzgl=18 i lp=830</v>
      </c>
      <c r="X99" s="28" t="str">
        <f t="shared" si="20"/>
        <v>rokwzgl=19 i lp=830</v>
      </c>
      <c r="Y99" s="28" t="str">
        <f t="shared" si="20"/>
        <v>rokwzgl=20 i lp=830</v>
      </c>
      <c r="Z99" s="28" t="str">
        <f t="shared" si="20"/>
        <v>rokwzgl=21 i lp=830</v>
      </c>
      <c r="AA99" s="28" t="str">
        <f t="shared" si="20"/>
        <v>rokwzgl=22 i lp=830</v>
      </c>
      <c r="AB99" s="28" t="str">
        <f t="shared" si="20"/>
        <v>rokwzgl=23 i lp=830</v>
      </c>
      <c r="AC99" s="28" t="str">
        <f t="shared" si="20"/>
        <v>rokwzgl=24 i lp=830</v>
      </c>
      <c r="AD99" s="28" t="str">
        <f t="shared" si="20"/>
        <v>rokwzgl=25 i lp=830</v>
      </c>
      <c r="AE99" s="28" t="str">
        <f t="shared" si="20"/>
        <v>rokwzgl=26 i lp=830</v>
      </c>
      <c r="AF99" s="28" t="str">
        <f t="shared" si="20"/>
        <v>rokwzgl=27 i lp=830</v>
      </c>
      <c r="AG99" s="28" t="str">
        <f t="shared" si="20"/>
        <v>rokwzgl=28 i lp=830</v>
      </c>
      <c r="AH99" s="28" t="str">
        <f t="shared" si="20"/>
        <v>rokwzgl=29 i lp=830</v>
      </c>
    </row>
    <row r="100" spans="1:34">
      <c r="A100" s="27">
        <v>840</v>
      </c>
      <c r="B100" s="27" t="s">
        <v>172</v>
      </c>
      <c r="C100" s="28" t="s">
        <v>123</v>
      </c>
      <c r="D100" s="28" t="str">
        <f t="shared" si="22"/>
        <v>rokwzgl=0 i lp=840</v>
      </c>
      <c r="E100" s="28" t="str">
        <f t="shared" si="22"/>
        <v>rokwzgl=0 i lp=840</v>
      </c>
      <c r="F100" s="28" t="str">
        <f t="shared" si="22"/>
        <v>rokwzgl=1 i lp=840</v>
      </c>
      <c r="G100" s="28" t="str">
        <f t="shared" si="22"/>
        <v>rokwzgl=2 i lp=840</v>
      </c>
      <c r="H100" s="28" t="str">
        <f t="shared" si="22"/>
        <v>rokwzgl=3 i lp=840</v>
      </c>
      <c r="I100" s="28" t="str">
        <f t="shared" si="22"/>
        <v>rokwzgl=4 i lp=840</v>
      </c>
      <c r="J100" s="28" t="str">
        <f t="shared" si="22"/>
        <v>rokwzgl=5 i lp=840</v>
      </c>
      <c r="K100" s="28" t="str">
        <f t="shared" si="22"/>
        <v>rokwzgl=6 i lp=840</v>
      </c>
      <c r="L100" s="28" t="str">
        <f t="shared" si="22"/>
        <v>rokwzgl=7 i lp=840</v>
      </c>
      <c r="M100" s="28" t="str">
        <f t="shared" si="22"/>
        <v>rokwzgl=8 i lp=840</v>
      </c>
      <c r="N100" s="28" t="str">
        <f t="shared" si="21"/>
        <v>rokwzgl=9 i lp=840</v>
      </c>
      <c r="O100" s="28" t="str">
        <f t="shared" si="21"/>
        <v>rokwzgl=10 i lp=840</v>
      </c>
      <c r="P100" s="28" t="str">
        <f t="shared" si="21"/>
        <v>rokwzgl=11 i lp=840</v>
      </c>
      <c r="Q100" s="28" t="str">
        <f t="shared" si="21"/>
        <v>rokwzgl=12 i lp=840</v>
      </c>
      <c r="R100" s="28" t="str">
        <f t="shared" si="21"/>
        <v>rokwzgl=13 i lp=840</v>
      </c>
      <c r="S100" s="28" t="str">
        <f t="shared" si="21"/>
        <v>rokwzgl=14 i lp=840</v>
      </c>
      <c r="T100" s="28" t="str">
        <f t="shared" si="21"/>
        <v>rokwzgl=15 i lp=840</v>
      </c>
      <c r="U100" s="28" t="str">
        <f t="shared" si="21"/>
        <v>rokwzgl=16 i lp=840</v>
      </c>
      <c r="V100" s="28" t="str">
        <f t="shared" si="21"/>
        <v>rokwzgl=17 i lp=840</v>
      </c>
      <c r="W100" s="28" t="str">
        <f t="shared" si="21"/>
        <v>rokwzgl=18 i lp=840</v>
      </c>
      <c r="X100" s="28" t="str">
        <f t="shared" si="20"/>
        <v>rokwzgl=19 i lp=840</v>
      </c>
      <c r="Y100" s="28" t="str">
        <f t="shared" ref="X100:AH114" si="23">+"rokwzgl="&amp;Y$9&amp;" i lp="&amp;$A100</f>
        <v>rokwzgl=20 i lp=840</v>
      </c>
      <c r="Z100" s="28" t="str">
        <f t="shared" si="23"/>
        <v>rokwzgl=21 i lp=840</v>
      </c>
      <c r="AA100" s="28" t="str">
        <f t="shared" si="23"/>
        <v>rokwzgl=22 i lp=840</v>
      </c>
      <c r="AB100" s="28" t="str">
        <f t="shared" si="23"/>
        <v>rokwzgl=23 i lp=840</v>
      </c>
      <c r="AC100" s="28" t="str">
        <f t="shared" si="23"/>
        <v>rokwzgl=24 i lp=840</v>
      </c>
      <c r="AD100" s="28" t="str">
        <f t="shared" si="23"/>
        <v>rokwzgl=25 i lp=840</v>
      </c>
      <c r="AE100" s="28" t="str">
        <f t="shared" si="23"/>
        <v>rokwzgl=26 i lp=840</v>
      </c>
      <c r="AF100" s="28" t="str">
        <f t="shared" si="23"/>
        <v>rokwzgl=27 i lp=840</v>
      </c>
      <c r="AG100" s="28" t="str">
        <f t="shared" si="23"/>
        <v>rokwzgl=28 i lp=840</v>
      </c>
      <c r="AH100" s="28" t="str">
        <f t="shared" si="23"/>
        <v>rokwzgl=29 i lp=840</v>
      </c>
    </row>
    <row r="101" spans="1:34">
      <c r="A101" s="27">
        <v>850</v>
      </c>
      <c r="B101" s="27" t="s">
        <v>173</v>
      </c>
      <c r="C101" s="28" t="s">
        <v>124</v>
      </c>
      <c r="D101" s="28" t="str">
        <f t="shared" si="22"/>
        <v>rokwzgl=0 i lp=850</v>
      </c>
      <c r="E101" s="28" t="str">
        <f t="shared" si="22"/>
        <v>rokwzgl=0 i lp=850</v>
      </c>
      <c r="F101" s="28" t="str">
        <f t="shared" si="22"/>
        <v>rokwzgl=1 i lp=850</v>
      </c>
      <c r="G101" s="28" t="str">
        <f t="shared" si="22"/>
        <v>rokwzgl=2 i lp=850</v>
      </c>
      <c r="H101" s="28" t="str">
        <f t="shared" si="22"/>
        <v>rokwzgl=3 i lp=850</v>
      </c>
      <c r="I101" s="28" t="str">
        <f t="shared" si="22"/>
        <v>rokwzgl=4 i lp=850</v>
      </c>
      <c r="J101" s="28" t="str">
        <f t="shared" si="22"/>
        <v>rokwzgl=5 i lp=850</v>
      </c>
      <c r="K101" s="28" t="str">
        <f t="shared" si="22"/>
        <v>rokwzgl=6 i lp=850</v>
      </c>
      <c r="L101" s="28" t="str">
        <f t="shared" si="22"/>
        <v>rokwzgl=7 i lp=850</v>
      </c>
      <c r="M101" s="28" t="str">
        <f t="shared" si="22"/>
        <v>rokwzgl=8 i lp=850</v>
      </c>
      <c r="N101" s="28" t="str">
        <f t="shared" si="21"/>
        <v>rokwzgl=9 i lp=850</v>
      </c>
      <c r="O101" s="28" t="str">
        <f t="shared" si="21"/>
        <v>rokwzgl=10 i lp=850</v>
      </c>
      <c r="P101" s="28" t="str">
        <f t="shared" si="21"/>
        <v>rokwzgl=11 i lp=850</v>
      </c>
      <c r="Q101" s="28" t="str">
        <f t="shared" si="21"/>
        <v>rokwzgl=12 i lp=850</v>
      </c>
      <c r="R101" s="28" t="str">
        <f t="shared" si="21"/>
        <v>rokwzgl=13 i lp=850</v>
      </c>
      <c r="S101" s="28" t="str">
        <f t="shared" si="21"/>
        <v>rokwzgl=14 i lp=850</v>
      </c>
      <c r="T101" s="28" t="str">
        <f t="shared" si="21"/>
        <v>rokwzgl=15 i lp=850</v>
      </c>
      <c r="U101" s="28" t="str">
        <f t="shared" si="21"/>
        <v>rokwzgl=16 i lp=850</v>
      </c>
      <c r="V101" s="28" t="str">
        <f t="shared" si="21"/>
        <v>rokwzgl=17 i lp=850</v>
      </c>
      <c r="W101" s="28" t="str">
        <f t="shared" si="21"/>
        <v>rokwzgl=18 i lp=850</v>
      </c>
      <c r="X101" s="28" t="str">
        <f t="shared" si="23"/>
        <v>rokwzgl=19 i lp=850</v>
      </c>
      <c r="Y101" s="28" t="str">
        <f t="shared" si="23"/>
        <v>rokwzgl=20 i lp=850</v>
      </c>
      <c r="Z101" s="28" t="str">
        <f t="shared" si="23"/>
        <v>rokwzgl=21 i lp=850</v>
      </c>
      <c r="AA101" s="28" t="str">
        <f t="shared" si="23"/>
        <v>rokwzgl=22 i lp=850</v>
      </c>
      <c r="AB101" s="28" t="str">
        <f t="shared" si="23"/>
        <v>rokwzgl=23 i lp=850</v>
      </c>
      <c r="AC101" s="28" t="str">
        <f t="shared" si="23"/>
        <v>rokwzgl=24 i lp=850</v>
      </c>
      <c r="AD101" s="28" t="str">
        <f t="shared" si="23"/>
        <v>rokwzgl=25 i lp=850</v>
      </c>
      <c r="AE101" s="28" t="str">
        <f t="shared" si="23"/>
        <v>rokwzgl=26 i lp=850</v>
      </c>
      <c r="AF101" s="28" t="str">
        <f t="shared" si="23"/>
        <v>rokwzgl=27 i lp=850</v>
      </c>
      <c r="AG101" s="28" t="str">
        <f t="shared" si="23"/>
        <v>rokwzgl=28 i lp=850</v>
      </c>
      <c r="AH101" s="28" t="str">
        <f t="shared" si="23"/>
        <v>rokwzgl=29 i lp=850</v>
      </c>
    </row>
    <row r="102" spans="1:34">
      <c r="A102" s="27">
        <v>860</v>
      </c>
      <c r="B102" s="27" t="s">
        <v>174</v>
      </c>
      <c r="C102" s="28" t="s">
        <v>125</v>
      </c>
      <c r="D102" s="28" t="str">
        <f t="shared" si="22"/>
        <v>rokwzgl=0 i lp=860</v>
      </c>
      <c r="E102" s="28" t="str">
        <f t="shared" si="22"/>
        <v>rokwzgl=0 i lp=860</v>
      </c>
      <c r="F102" s="28" t="str">
        <f t="shared" si="22"/>
        <v>rokwzgl=1 i lp=860</v>
      </c>
      <c r="G102" s="28" t="str">
        <f t="shared" si="22"/>
        <v>rokwzgl=2 i lp=860</v>
      </c>
      <c r="H102" s="28" t="str">
        <f t="shared" si="22"/>
        <v>rokwzgl=3 i lp=860</v>
      </c>
      <c r="I102" s="28" t="str">
        <f t="shared" si="22"/>
        <v>rokwzgl=4 i lp=860</v>
      </c>
      <c r="J102" s="28" t="str">
        <f t="shared" si="22"/>
        <v>rokwzgl=5 i lp=860</v>
      </c>
      <c r="K102" s="28" t="str">
        <f t="shared" si="22"/>
        <v>rokwzgl=6 i lp=860</v>
      </c>
      <c r="L102" s="28" t="str">
        <f t="shared" si="22"/>
        <v>rokwzgl=7 i lp=860</v>
      </c>
      <c r="M102" s="28" t="str">
        <f t="shared" si="22"/>
        <v>rokwzgl=8 i lp=860</v>
      </c>
      <c r="N102" s="28" t="str">
        <f t="shared" si="22"/>
        <v>rokwzgl=9 i lp=860</v>
      </c>
      <c r="O102" s="28" t="str">
        <f t="shared" si="22"/>
        <v>rokwzgl=10 i lp=860</v>
      </c>
      <c r="P102" s="28" t="str">
        <f t="shared" si="22"/>
        <v>rokwzgl=11 i lp=860</v>
      </c>
      <c r="Q102" s="28" t="str">
        <f t="shared" si="22"/>
        <v>rokwzgl=12 i lp=860</v>
      </c>
      <c r="R102" s="28" t="str">
        <f t="shared" si="22"/>
        <v>rokwzgl=13 i lp=860</v>
      </c>
      <c r="S102" s="28" t="str">
        <f t="shared" ref="N102:W114" si="24">+"rokwzgl="&amp;S$9&amp;" i lp="&amp;$A102</f>
        <v>rokwzgl=14 i lp=860</v>
      </c>
      <c r="T102" s="28" t="str">
        <f t="shared" si="24"/>
        <v>rokwzgl=15 i lp=860</v>
      </c>
      <c r="U102" s="28" t="str">
        <f t="shared" si="24"/>
        <v>rokwzgl=16 i lp=860</v>
      </c>
      <c r="V102" s="28" t="str">
        <f t="shared" si="24"/>
        <v>rokwzgl=17 i lp=860</v>
      </c>
      <c r="W102" s="28" t="str">
        <f t="shared" si="24"/>
        <v>rokwzgl=18 i lp=860</v>
      </c>
      <c r="X102" s="28" t="str">
        <f t="shared" si="23"/>
        <v>rokwzgl=19 i lp=860</v>
      </c>
      <c r="Y102" s="28" t="str">
        <f t="shared" si="23"/>
        <v>rokwzgl=20 i lp=860</v>
      </c>
      <c r="Z102" s="28" t="str">
        <f t="shared" si="23"/>
        <v>rokwzgl=21 i lp=860</v>
      </c>
      <c r="AA102" s="28" t="str">
        <f t="shared" si="23"/>
        <v>rokwzgl=22 i lp=860</v>
      </c>
      <c r="AB102" s="28" t="str">
        <f t="shared" si="23"/>
        <v>rokwzgl=23 i lp=860</v>
      </c>
      <c r="AC102" s="28" t="str">
        <f t="shared" si="23"/>
        <v>rokwzgl=24 i lp=860</v>
      </c>
      <c r="AD102" s="28" t="str">
        <f t="shared" si="23"/>
        <v>rokwzgl=25 i lp=860</v>
      </c>
      <c r="AE102" s="28" t="str">
        <f t="shared" si="23"/>
        <v>rokwzgl=26 i lp=860</v>
      </c>
      <c r="AF102" s="28" t="str">
        <f t="shared" si="23"/>
        <v>rokwzgl=27 i lp=860</v>
      </c>
      <c r="AG102" s="28" t="str">
        <f t="shared" si="23"/>
        <v>rokwzgl=28 i lp=860</v>
      </c>
      <c r="AH102" s="28" t="str">
        <f t="shared" si="23"/>
        <v>rokwzgl=29 i lp=860</v>
      </c>
    </row>
    <row r="103" spans="1:34">
      <c r="A103" s="27">
        <v>870</v>
      </c>
      <c r="B103" s="27">
        <v>14</v>
      </c>
      <c r="C103" s="28" t="s">
        <v>126</v>
      </c>
      <c r="D103" s="28" t="str">
        <f t="shared" ref="D103:M114" si="25">+"rokwzgl="&amp;D$9&amp;" i lp="&amp;$A103</f>
        <v>rokwzgl=0 i lp=870</v>
      </c>
      <c r="E103" s="28" t="str">
        <f t="shared" si="25"/>
        <v>rokwzgl=0 i lp=870</v>
      </c>
      <c r="F103" s="28" t="str">
        <f t="shared" si="25"/>
        <v>rokwzgl=1 i lp=870</v>
      </c>
      <c r="G103" s="28" t="str">
        <f t="shared" si="25"/>
        <v>rokwzgl=2 i lp=870</v>
      </c>
      <c r="H103" s="28" t="str">
        <f t="shared" si="25"/>
        <v>rokwzgl=3 i lp=870</v>
      </c>
      <c r="I103" s="28" t="str">
        <f t="shared" si="25"/>
        <v>rokwzgl=4 i lp=870</v>
      </c>
      <c r="J103" s="28" t="str">
        <f t="shared" si="25"/>
        <v>rokwzgl=5 i lp=870</v>
      </c>
      <c r="K103" s="28" t="str">
        <f t="shared" si="25"/>
        <v>rokwzgl=6 i lp=870</v>
      </c>
      <c r="L103" s="28" t="str">
        <f t="shared" si="25"/>
        <v>rokwzgl=7 i lp=870</v>
      </c>
      <c r="M103" s="28" t="str">
        <f t="shared" si="25"/>
        <v>rokwzgl=8 i lp=870</v>
      </c>
      <c r="N103" s="28" t="str">
        <f t="shared" si="24"/>
        <v>rokwzgl=9 i lp=870</v>
      </c>
      <c r="O103" s="28" t="str">
        <f t="shared" si="24"/>
        <v>rokwzgl=10 i lp=870</v>
      </c>
      <c r="P103" s="28" t="str">
        <f t="shared" si="24"/>
        <v>rokwzgl=11 i lp=870</v>
      </c>
      <c r="Q103" s="28" t="str">
        <f t="shared" si="24"/>
        <v>rokwzgl=12 i lp=870</v>
      </c>
      <c r="R103" s="28" t="str">
        <f t="shared" si="24"/>
        <v>rokwzgl=13 i lp=870</v>
      </c>
      <c r="S103" s="28" t="str">
        <f t="shared" si="24"/>
        <v>rokwzgl=14 i lp=870</v>
      </c>
      <c r="T103" s="28" t="str">
        <f t="shared" si="24"/>
        <v>rokwzgl=15 i lp=870</v>
      </c>
      <c r="U103" s="28" t="str">
        <f t="shared" si="24"/>
        <v>rokwzgl=16 i lp=870</v>
      </c>
      <c r="V103" s="28" t="str">
        <f t="shared" si="24"/>
        <v>rokwzgl=17 i lp=870</v>
      </c>
      <c r="W103" s="28" t="str">
        <f t="shared" si="24"/>
        <v>rokwzgl=18 i lp=870</v>
      </c>
      <c r="X103" s="28" t="str">
        <f t="shared" si="23"/>
        <v>rokwzgl=19 i lp=870</v>
      </c>
      <c r="Y103" s="28" t="str">
        <f t="shared" si="23"/>
        <v>rokwzgl=20 i lp=870</v>
      </c>
      <c r="Z103" s="28" t="str">
        <f t="shared" si="23"/>
        <v>rokwzgl=21 i lp=870</v>
      </c>
      <c r="AA103" s="28" t="str">
        <f t="shared" si="23"/>
        <v>rokwzgl=22 i lp=870</v>
      </c>
      <c r="AB103" s="28" t="str">
        <f t="shared" si="23"/>
        <v>rokwzgl=23 i lp=870</v>
      </c>
      <c r="AC103" s="28" t="str">
        <f t="shared" si="23"/>
        <v>rokwzgl=24 i lp=870</v>
      </c>
      <c r="AD103" s="28" t="str">
        <f t="shared" si="23"/>
        <v>rokwzgl=25 i lp=870</v>
      </c>
      <c r="AE103" s="28" t="str">
        <f t="shared" si="23"/>
        <v>rokwzgl=26 i lp=870</v>
      </c>
      <c r="AF103" s="28" t="str">
        <f t="shared" si="23"/>
        <v>rokwzgl=27 i lp=870</v>
      </c>
      <c r="AG103" s="28" t="str">
        <f t="shared" si="23"/>
        <v>rokwzgl=28 i lp=870</v>
      </c>
      <c r="AH103" s="28" t="str">
        <f t="shared" si="23"/>
        <v>rokwzgl=29 i lp=870</v>
      </c>
    </row>
    <row r="104" spans="1:34">
      <c r="A104" s="27">
        <v>880</v>
      </c>
      <c r="B104" s="27" t="s">
        <v>175</v>
      </c>
      <c r="C104" s="28" t="s">
        <v>127</v>
      </c>
      <c r="D104" s="28" t="str">
        <f t="shared" si="25"/>
        <v>rokwzgl=0 i lp=880</v>
      </c>
      <c r="E104" s="28" t="str">
        <f t="shared" si="25"/>
        <v>rokwzgl=0 i lp=880</v>
      </c>
      <c r="F104" s="28" t="str">
        <f t="shared" si="25"/>
        <v>rokwzgl=1 i lp=880</v>
      </c>
      <c r="G104" s="28" t="str">
        <f t="shared" si="25"/>
        <v>rokwzgl=2 i lp=880</v>
      </c>
      <c r="H104" s="28" t="str">
        <f t="shared" si="25"/>
        <v>rokwzgl=3 i lp=880</v>
      </c>
      <c r="I104" s="28" t="str">
        <f t="shared" si="25"/>
        <v>rokwzgl=4 i lp=880</v>
      </c>
      <c r="J104" s="28" t="str">
        <f t="shared" si="25"/>
        <v>rokwzgl=5 i lp=880</v>
      </c>
      <c r="K104" s="28" t="str">
        <f t="shared" si="25"/>
        <v>rokwzgl=6 i lp=880</v>
      </c>
      <c r="L104" s="28" t="str">
        <f t="shared" si="25"/>
        <v>rokwzgl=7 i lp=880</v>
      </c>
      <c r="M104" s="28" t="str">
        <f t="shared" si="25"/>
        <v>rokwzgl=8 i lp=880</v>
      </c>
      <c r="N104" s="28" t="str">
        <f t="shared" si="24"/>
        <v>rokwzgl=9 i lp=880</v>
      </c>
      <c r="O104" s="28" t="str">
        <f t="shared" si="24"/>
        <v>rokwzgl=10 i lp=880</v>
      </c>
      <c r="P104" s="28" t="str">
        <f t="shared" si="24"/>
        <v>rokwzgl=11 i lp=880</v>
      </c>
      <c r="Q104" s="28" t="str">
        <f t="shared" si="24"/>
        <v>rokwzgl=12 i lp=880</v>
      </c>
      <c r="R104" s="28" t="str">
        <f t="shared" si="24"/>
        <v>rokwzgl=13 i lp=880</v>
      </c>
      <c r="S104" s="28" t="str">
        <f t="shared" si="24"/>
        <v>rokwzgl=14 i lp=880</v>
      </c>
      <c r="T104" s="28" t="str">
        <f t="shared" si="24"/>
        <v>rokwzgl=15 i lp=880</v>
      </c>
      <c r="U104" s="28" t="str">
        <f t="shared" si="24"/>
        <v>rokwzgl=16 i lp=880</v>
      </c>
      <c r="V104" s="28" t="str">
        <f t="shared" si="24"/>
        <v>rokwzgl=17 i lp=880</v>
      </c>
      <c r="W104" s="28" t="str">
        <f t="shared" si="24"/>
        <v>rokwzgl=18 i lp=880</v>
      </c>
      <c r="X104" s="28" t="str">
        <f t="shared" si="23"/>
        <v>rokwzgl=19 i lp=880</v>
      </c>
      <c r="Y104" s="28" t="str">
        <f t="shared" si="23"/>
        <v>rokwzgl=20 i lp=880</v>
      </c>
      <c r="Z104" s="28" t="str">
        <f t="shared" si="23"/>
        <v>rokwzgl=21 i lp=880</v>
      </c>
      <c r="AA104" s="28" t="str">
        <f t="shared" si="23"/>
        <v>rokwzgl=22 i lp=880</v>
      </c>
      <c r="AB104" s="28" t="str">
        <f t="shared" si="23"/>
        <v>rokwzgl=23 i lp=880</v>
      </c>
      <c r="AC104" s="28" t="str">
        <f t="shared" si="23"/>
        <v>rokwzgl=24 i lp=880</v>
      </c>
      <c r="AD104" s="28" t="str">
        <f t="shared" si="23"/>
        <v>rokwzgl=25 i lp=880</v>
      </c>
      <c r="AE104" s="28" t="str">
        <f t="shared" si="23"/>
        <v>rokwzgl=26 i lp=880</v>
      </c>
      <c r="AF104" s="28" t="str">
        <f t="shared" si="23"/>
        <v>rokwzgl=27 i lp=880</v>
      </c>
      <c r="AG104" s="28" t="str">
        <f t="shared" si="23"/>
        <v>rokwzgl=28 i lp=880</v>
      </c>
      <c r="AH104" s="28" t="str">
        <f t="shared" si="23"/>
        <v>rokwzgl=29 i lp=880</v>
      </c>
    </row>
    <row r="105" spans="1:34">
      <c r="A105" s="27">
        <v>890</v>
      </c>
      <c r="B105" s="27" t="s">
        <v>176</v>
      </c>
      <c r="C105" s="28" t="s">
        <v>128</v>
      </c>
      <c r="D105" s="28" t="str">
        <f t="shared" si="25"/>
        <v>rokwzgl=0 i lp=890</v>
      </c>
      <c r="E105" s="28" t="str">
        <f t="shared" si="25"/>
        <v>rokwzgl=0 i lp=890</v>
      </c>
      <c r="F105" s="28" t="str">
        <f t="shared" si="25"/>
        <v>rokwzgl=1 i lp=890</v>
      </c>
      <c r="G105" s="28" t="str">
        <f t="shared" si="25"/>
        <v>rokwzgl=2 i lp=890</v>
      </c>
      <c r="H105" s="28" t="str">
        <f t="shared" si="25"/>
        <v>rokwzgl=3 i lp=890</v>
      </c>
      <c r="I105" s="28" t="str">
        <f t="shared" si="25"/>
        <v>rokwzgl=4 i lp=890</v>
      </c>
      <c r="J105" s="28" t="str">
        <f t="shared" si="25"/>
        <v>rokwzgl=5 i lp=890</v>
      </c>
      <c r="K105" s="28" t="str">
        <f t="shared" si="25"/>
        <v>rokwzgl=6 i lp=890</v>
      </c>
      <c r="L105" s="28" t="str">
        <f t="shared" si="25"/>
        <v>rokwzgl=7 i lp=890</v>
      </c>
      <c r="M105" s="28" t="str">
        <f t="shared" si="25"/>
        <v>rokwzgl=8 i lp=890</v>
      </c>
      <c r="N105" s="28" t="str">
        <f t="shared" si="24"/>
        <v>rokwzgl=9 i lp=890</v>
      </c>
      <c r="O105" s="28" t="str">
        <f t="shared" si="24"/>
        <v>rokwzgl=10 i lp=890</v>
      </c>
      <c r="P105" s="28" t="str">
        <f t="shared" si="24"/>
        <v>rokwzgl=11 i lp=890</v>
      </c>
      <c r="Q105" s="28" t="str">
        <f t="shared" si="24"/>
        <v>rokwzgl=12 i lp=890</v>
      </c>
      <c r="R105" s="28" t="str">
        <f t="shared" si="24"/>
        <v>rokwzgl=13 i lp=890</v>
      </c>
      <c r="S105" s="28" t="str">
        <f t="shared" si="24"/>
        <v>rokwzgl=14 i lp=890</v>
      </c>
      <c r="T105" s="28" t="str">
        <f t="shared" si="24"/>
        <v>rokwzgl=15 i lp=890</v>
      </c>
      <c r="U105" s="28" t="str">
        <f t="shared" si="24"/>
        <v>rokwzgl=16 i lp=890</v>
      </c>
      <c r="V105" s="28" t="str">
        <f t="shared" si="24"/>
        <v>rokwzgl=17 i lp=890</v>
      </c>
      <c r="W105" s="28" t="str">
        <f t="shared" si="24"/>
        <v>rokwzgl=18 i lp=890</v>
      </c>
      <c r="X105" s="28" t="str">
        <f t="shared" si="23"/>
        <v>rokwzgl=19 i lp=890</v>
      </c>
      <c r="Y105" s="28" t="str">
        <f t="shared" si="23"/>
        <v>rokwzgl=20 i lp=890</v>
      </c>
      <c r="Z105" s="28" t="str">
        <f t="shared" si="23"/>
        <v>rokwzgl=21 i lp=890</v>
      </c>
      <c r="AA105" s="28" t="str">
        <f t="shared" si="23"/>
        <v>rokwzgl=22 i lp=890</v>
      </c>
      <c r="AB105" s="28" t="str">
        <f t="shared" si="23"/>
        <v>rokwzgl=23 i lp=890</v>
      </c>
      <c r="AC105" s="28" t="str">
        <f t="shared" si="23"/>
        <v>rokwzgl=24 i lp=890</v>
      </c>
      <c r="AD105" s="28" t="str">
        <f t="shared" si="23"/>
        <v>rokwzgl=25 i lp=890</v>
      </c>
      <c r="AE105" s="28" t="str">
        <f t="shared" si="23"/>
        <v>rokwzgl=26 i lp=890</v>
      </c>
      <c r="AF105" s="28" t="str">
        <f t="shared" si="23"/>
        <v>rokwzgl=27 i lp=890</v>
      </c>
      <c r="AG105" s="28" t="str">
        <f t="shared" si="23"/>
        <v>rokwzgl=28 i lp=890</v>
      </c>
      <c r="AH105" s="28" t="str">
        <f t="shared" si="23"/>
        <v>rokwzgl=29 i lp=890</v>
      </c>
    </row>
    <row r="106" spans="1:34">
      <c r="A106" s="27">
        <v>900</v>
      </c>
      <c r="B106" s="27" t="s">
        <v>177</v>
      </c>
      <c r="C106" s="28" t="s">
        <v>129</v>
      </c>
      <c r="D106" s="28" t="str">
        <f t="shared" si="25"/>
        <v>rokwzgl=0 i lp=900</v>
      </c>
      <c r="E106" s="28" t="str">
        <f t="shared" si="25"/>
        <v>rokwzgl=0 i lp=900</v>
      </c>
      <c r="F106" s="28" t="str">
        <f t="shared" si="25"/>
        <v>rokwzgl=1 i lp=900</v>
      </c>
      <c r="G106" s="28" t="str">
        <f t="shared" si="25"/>
        <v>rokwzgl=2 i lp=900</v>
      </c>
      <c r="H106" s="28" t="str">
        <f t="shared" si="25"/>
        <v>rokwzgl=3 i lp=900</v>
      </c>
      <c r="I106" s="28" t="str">
        <f t="shared" si="25"/>
        <v>rokwzgl=4 i lp=900</v>
      </c>
      <c r="J106" s="28" t="str">
        <f t="shared" si="25"/>
        <v>rokwzgl=5 i lp=900</v>
      </c>
      <c r="K106" s="28" t="str">
        <f t="shared" si="25"/>
        <v>rokwzgl=6 i lp=900</v>
      </c>
      <c r="L106" s="28" t="str">
        <f t="shared" si="25"/>
        <v>rokwzgl=7 i lp=900</v>
      </c>
      <c r="M106" s="28" t="str">
        <f t="shared" si="25"/>
        <v>rokwzgl=8 i lp=900</v>
      </c>
      <c r="N106" s="28" t="str">
        <f t="shared" si="24"/>
        <v>rokwzgl=9 i lp=900</v>
      </c>
      <c r="O106" s="28" t="str">
        <f t="shared" si="24"/>
        <v>rokwzgl=10 i lp=900</v>
      </c>
      <c r="P106" s="28" t="str">
        <f t="shared" si="24"/>
        <v>rokwzgl=11 i lp=900</v>
      </c>
      <c r="Q106" s="28" t="str">
        <f t="shared" si="24"/>
        <v>rokwzgl=12 i lp=900</v>
      </c>
      <c r="R106" s="28" t="str">
        <f t="shared" si="24"/>
        <v>rokwzgl=13 i lp=900</v>
      </c>
      <c r="S106" s="28" t="str">
        <f t="shared" si="24"/>
        <v>rokwzgl=14 i lp=900</v>
      </c>
      <c r="T106" s="28" t="str">
        <f t="shared" si="24"/>
        <v>rokwzgl=15 i lp=900</v>
      </c>
      <c r="U106" s="28" t="str">
        <f t="shared" si="24"/>
        <v>rokwzgl=16 i lp=900</v>
      </c>
      <c r="V106" s="28" t="str">
        <f t="shared" si="24"/>
        <v>rokwzgl=17 i lp=900</v>
      </c>
      <c r="W106" s="28" t="str">
        <f t="shared" si="24"/>
        <v>rokwzgl=18 i lp=900</v>
      </c>
      <c r="X106" s="28" t="str">
        <f t="shared" si="23"/>
        <v>rokwzgl=19 i lp=900</v>
      </c>
      <c r="Y106" s="28" t="str">
        <f t="shared" si="23"/>
        <v>rokwzgl=20 i lp=900</v>
      </c>
      <c r="Z106" s="28" t="str">
        <f t="shared" si="23"/>
        <v>rokwzgl=21 i lp=900</v>
      </c>
      <c r="AA106" s="28" t="str">
        <f t="shared" si="23"/>
        <v>rokwzgl=22 i lp=900</v>
      </c>
      <c r="AB106" s="28" t="str">
        <f t="shared" si="23"/>
        <v>rokwzgl=23 i lp=900</v>
      </c>
      <c r="AC106" s="28" t="str">
        <f t="shared" si="23"/>
        <v>rokwzgl=24 i lp=900</v>
      </c>
      <c r="AD106" s="28" t="str">
        <f t="shared" si="23"/>
        <v>rokwzgl=25 i lp=900</v>
      </c>
      <c r="AE106" s="28" t="str">
        <f t="shared" si="23"/>
        <v>rokwzgl=26 i lp=900</v>
      </c>
      <c r="AF106" s="28" t="str">
        <f t="shared" si="23"/>
        <v>rokwzgl=27 i lp=900</v>
      </c>
      <c r="AG106" s="28" t="str">
        <f t="shared" si="23"/>
        <v>rokwzgl=28 i lp=900</v>
      </c>
      <c r="AH106" s="28" t="str">
        <f t="shared" si="23"/>
        <v>rokwzgl=29 i lp=900</v>
      </c>
    </row>
    <row r="107" spans="1:34">
      <c r="A107" s="27">
        <v>910</v>
      </c>
      <c r="B107" s="27" t="s">
        <v>130</v>
      </c>
      <c r="C107" s="28" t="s">
        <v>131</v>
      </c>
      <c r="D107" s="28" t="str">
        <f t="shared" si="25"/>
        <v>rokwzgl=0 i lp=910</v>
      </c>
      <c r="E107" s="28" t="str">
        <f t="shared" si="25"/>
        <v>rokwzgl=0 i lp=910</v>
      </c>
      <c r="F107" s="28" t="str">
        <f t="shared" si="25"/>
        <v>rokwzgl=1 i lp=910</v>
      </c>
      <c r="G107" s="28" t="str">
        <f t="shared" si="25"/>
        <v>rokwzgl=2 i lp=910</v>
      </c>
      <c r="H107" s="28" t="str">
        <f t="shared" si="25"/>
        <v>rokwzgl=3 i lp=910</v>
      </c>
      <c r="I107" s="28" t="str">
        <f t="shared" si="25"/>
        <v>rokwzgl=4 i lp=910</v>
      </c>
      <c r="J107" s="28" t="str">
        <f t="shared" si="25"/>
        <v>rokwzgl=5 i lp=910</v>
      </c>
      <c r="K107" s="28" t="str">
        <f t="shared" si="25"/>
        <v>rokwzgl=6 i lp=910</v>
      </c>
      <c r="L107" s="28" t="str">
        <f t="shared" si="25"/>
        <v>rokwzgl=7 i lp=910</v>
      </c>
      <c r="M107" s="28" t="str">
        <f t="shared" si="25"/>
        <v>rokwzgl=8 i lp=910</v>
      </c>
      <c r="N107" s="28" t="str">
        <f t="shared" si="24"/>
        <v>rokwzgl=9 i lp=910</v>
      </c>
      <c r="O107" s="28" t="str">
        <f t="shared" si="24"/>
        <v>rokwzgl=10 i lp=910</v>
      </c>
      <c r="P107" s="28" t="str">
        <f t="shared" si="24"/>
        <v>rokwzgl=11 i lp=910</v>
      </c>
      <c r="Q107" s="28" t="str">
        <f t="shared" si="24"/>
        <v>rokwzgl=12 i lp=910</v>
      </c>
      <c r="R107" s="28" t="str">
        <f t="shared" si="24"/>
        <v>rokwzgl=13 i lp=910</v>
      </c>
      <c r="S107" s="28" t="str">
        <f t="shared" si="24"/>
        <v>rokwzgl=14 i lp=910</v>
      </c>
      <c r="T107" s="28" t="str">
        <f t="shared" si="24"/>
        <v>rokwzgl=15 i lp=910</v>
      </c>
      <c r="U107" s="28" t="str">
        <f t="shared" si="24"/>
        <v>rokwzgl=16 i lp=910</v>
      </c>
      <c r="V107" s="28" t="str">
        <f t="shared" si="24"/>
        <v>rokwzgl=17 i lp=910</v>
      </c>
      <c r="W107" s="28" t="str">
        <f t="shared" si="24"/>
        <v>rokwzgl=18 i lp=910</v>
      </c>
      <c r="X107" s="28" t="str">
        <f t="shared" si="23"/>
        <v>rokwzgl=19 i lp=910</v>
      </c>
      <c r="Y107" s="28" t="str">
        <f t="shared" si="23"/>
        <v>rokwzgl=20 i lp=910</v>
      </c>
      <c r="Z107" s="28" t="str">
        <f t="shared" si="23"/>
        <v>rokwzgl=21 i lp=910</v>
      </c>
      <c r="AA107" s="28" t="str">
        <f t="shared" si="23"/>
        <v>rokwzgl=22 i lp=910</v>
      </c>
      <c r="AB107" s="28" t="str">
        <f t="shared" si="23"/>
        <v>rokwzgl=23 i lp=910</v>
      </c>
      <c r="AC107" s="28" t="str">
        <f t="shared" si="23"/>
        <v>rokwzgl=24 i lp=910</v>
      </c>
      <c r="AD107" s="28" t="str">
        <f t="shared" si="23"/>
        <v>rokwzgl=25 i lp=910</v>
      </c>
      <c r="AE107" s="28" t="str">
        <f t="shared" si="23"/>
        <v>rokwzgl=26 i lp=910</v>
      </c>
      <c r="AF107" s="28" t="str">
        <f t="shared" si="23"/>
        <v>rokwzgl=27 i lp=910</v>
      </c>
      <c r="AG107" s="28" t="str">
        <f t="shared" si="23"/>
        <v>rokwzgl=28 i lp=910</v>
      </c>
      <c r="AH107" s="28" t="str">
        <f t="shared" si="23"/>
        <v>rokwzgl=29 i lp=910</v>
      </c>
    </row>
    <row r="108" spans="1:34">
      <c r="A108" s="27">
        <v>920</v>
      </c>
      <c r="B108" s="27" t="s">
        <v>132</v>
      </c>
      <c r="C108" s="28" t="s">
        <v>410</v>
      </c>
      <c r="D108" s="28" t="str">
        <f t="shared" si="25"/>
        <v>rokwzgl=0 i lp=920</v>
      </c>
      <c r="E108" s="28" t="str">
        <f t="shared" si="25"/>
        <v>rokwzgl=0 i lp=920</v>
      </c>
      <c r="F108" s="28" t="str">
        <f t="shared" si="25"/>
        <v>rokwzgl=1 i lp=920</v>
      </c>
      <c r="G108" s="28" t="str">
        <f t="shared" si="25"/>
        <v>rokwzgl=2 i lp=920</v>
      </c>
      <c r="H108" s="28" t="str">
        <f t="shared" si="25"/>
        <v>rokwzgl=3 i lp=920</v>
      </c>
      <c r="I108" s="28" t="str">
        <f t="shared" si="25"/>
        <v>rokwzgl=4 i lp=920</v>
      </c>
      <c r="J108" s="28" t="str">
        <f t="shared" si="25"/>
        <v>rokwzgl=5 i lp=920</v>
      </c>
      <c r="K108" s="28" t="str">
        <f t="shared" si="25"/>
        <v>rokwzgl=6 i lp=920</v>
      </c>
      <c r="L108" s="28" t="str">
        <f t="shared" si="25"/>
        <v>rokwzgl=7 i lp=920</v>
      </c>
      <c r="M108" s="28" t="str">
        <f t="shared" si="25"/>
        <v>rokwzgl=8 i lp=920</v>
      </c>
      <c r="N108" s="28" t="str">
        <f t="shared" si="24"/>
        <v>rokwzgl=9 i lp=920</v>
      </c>
      <c r="O108" s="28" t="str">
        <f t="shared" si="24"/>
        <v>rokwzgl=10 i lp=920</v>
      </c>
      <c r="P108" s="28" t="str">
        <f t="shared" si="24"/>
        <v>rokwzgl=11 i lp=920</v>
      </c>
      <c r="Q108" s="28" t="str">
        <f t="shared" si="24"/>
        <v>rokwzgl=12 i lp=920</v>
      </c>
      <c r="R108" s="28" t="str">
        <f t="shared" si="24"/>
        <v>rokwzgl=13 i lp=920</v>
      </c>
      <c r="S108" s="28" t="str">
        <f t="shared" si="24"/>
        <v>rokwzgl=14 i lp=920</v>
      </c>
      <c r="T108" s="28" t="str">
        <f t="shared" si="24"/>
        <v>rokwzgl=15 i lp=920</v>
      </c>
      <c r="U108" s="28" t="str">
        <f t="shared" si="24"/>
        <v>rokwzgl=16 i lp=920</v>
      </c>
      <c r="V108" s="28" t="str">
        <f t="shared" si="24"/>
        <v>rokwzgl=17 i lp=920</v>
      </c>
      <c r="W108" s="28" t="str">
        <f t="shared" si="24"/>
        <v>rokwzgl=18 i lp=920</v>
      </c>
      <c r="X108" s="28" t="str">
        <f t="shared" si="23"/>
        <v>rokwzgl=19 i lp=920</v>
      </c>
      <c r="Y108" s="28" t="str">
        <f t="shared" si="23"/>
        <v>rokwzgl=20 i lp=920</v>
      </c>
      <c r="Z108" s="28" t="str">
        <f t="shared" si="23"/>
        <v>rokwzgl=21 i lp=920</v>
      </c>
      <c r="AA108" s="28" t="str">
        <f t="shared" si="23"/>
        <v>rokwzgl=22 i lp=920</v>
      </c>
      <c r="AB108" s="28" t="str">
        <f t="shared" si="23"/>
        <v>rokwzgl=23 i lp=920</v>
      </c>
      <c r="AC108" s="28" t="str">
        <f t="shared" si="23"/>
        <v>rokwzgl=24 i lp=920</v>
      </c>
      <c r="AD108" s="28" t="str">
        <f t="shared" si="23"/>
        <v>rokwzgl=25 i lp=920</v>
      </c>
      <c r="AE108" s="28" t="str">
        <f t="shared" si="23"/>
        <v>rokwzgl=26 i lp=920</v>
      </c>
      <c r="AF108" s="28" t="str">
        <f t="shared" si="23"/>
        <v>rokwzgl=27 i lp=920</v>
      </c>
      <c r="AG108" s="28" t="str">
        <f t="shared" si="23"/>
        <v>rokwzgl=28 i lp=920</v>
      </c>
      <c r="AH108" s="28" t="str">
        <f t="shared" si="23"/>
        <v>rokwzgl=29 i lp=920</v>
      </c>
    </row>
    <row r="109" spans="1:34">
      <c r="A109" s="27">
        <v>930</v>
      </c>
      <c r="B109" s="27" t="s">
        <v>133</v>
      </c>
      <c r="C109" s="28" t="s">
        <v>134</v>
      </c>
      <c r="D109" s="28" t="str">
        <f t="shared" si="25"/>
        <v>rokwzgl=0 i lp=930</v>
      </c>
      <c r="E109" s="28" t="str">
        <f t="shared" si="25"/>
        <v>rokwzgl=0 i lp=930</v>
      </c>
      <c r="F109" s="28" t="str">
        <f t="shared" si="25"/>
        <v>rokwzgl=1 i lp=930</v>
      </c>
      <c r="G109" s="28" t="str">
        <f t="shared" si="25"/>
        <v>rokwzgl=2 i lp=930</v>
      </c>
      <c r="H109" s="28" t="str">
        <f t="shared" si="25"/>
        <v>rokwzgl=3 i lp=930</v>
      </c>
      <c r="I109" s="28" t="str">
        <f t="shared" si="25"/>
        <v>rokwzgl=4 i lp=930</v>
      </c>
      <c r="J109" s="28" t="str">
        <f t="shared" si="25"/>
        <v>rokwzgl=5 i lp=930</v>
      </c>
      <c r="K109" s="28" t="str">
        <f t="shared" si="25"/>
        <v>rokwzgl=6 i lp=930</v>
      </c>
      <c r="L109" s="28" t="str">
        <f t="shared" si="25"/>
        <v>rokwzgl=7 i lp=930</v>
      </c>
      <c r="M109" s="28" t="str">
        <f t="shared" si="25"/>
        <v>rokwzgl=8 i lp=930</v>
      </c>
      <c r="N109" s="28" t="str">
        <f t="shared" si="24"/>
        <v>rokwzgl=9 i lp=930</v>
      </c>
      <c r="O109" s="28" t="str">
        <f t="shared" si="24"/>
        <v>rokwzgl=10 i lp=930</v>
      </c>
      <c r="P109" s="28" t="str">
        <f t="shared" si="24"/>
        <v>rokwzgl=11 i lp=930</v>
      </c>
      <c r="Q109" s="28" t="str">
        <f t="shared" si="24"/>
        <v>rokwzgl=12 i lp=930</v>
      </c>
      <c r="R109" s="28" t="str">
        <f t="shared" si="24"/>
        <v>rokwzgl=13 i lp=930</v>
      </c>
      <c r="S109" s="28" t="str">
        <f t="shared" si="24"/>
        <v>rokwzgl=14 i lp=930</v>
      </c>
      <c r="T109" s="28" t="str">
        <f t="shared" si="24"/>
        <v>rokwzgl=15 i lp=930</v>
      </c>
      <c r="U109" s="28" t="str">
        <f t="shared" si="24"/>
        <v>rokwzgl=16 i lp=930</v>
      </c>
      <c r="V109" s="28" t="str">
        <f t="shared" si="24"/>
        <v>rokwzgl=17 i lp=930</v>
      </c>
      <c r="W109" s="28" t="str">
        <f t="shared" si="24"/>
        <v>rokwzgl=18 i lp=930</v>
      </c>
      <c r="X109" s="28" t="str">
        <f t="shared" si="23"/>
        <v>rokwzgl=19 i lp=930</v>
      </c>
      <c r="Y109" s="28" t="str">
        <f t="shared" si="23"/>
        <v>rokwzgl=20 i lp=930</v>
      </c>
      <c r="Z109" s="28" t="str">
        <f t="shared" si="23"/>
        <v>rokwzgl=21 i lp=930</v>
      </c>
      <c r="AA109" s="28" t="str">
        <f t="shared" si="23"/>
        <v>rokwzgl=22 i lp=930</v>
      </c>
      <c r="AB109" s="28" t="str">
        <f t="shared" si="23"/>
        <v>rokwzgl=23 i lp=930</v>
      </c>
      <c r="AC109" s="28" t="str">
        <f t="shared" si="23"/>
        <v>rokwzgl=24 i lp=930</v>
      </c>
      <c r="AD109" s="28" t="str">
        <f t="shared" si="23"/>
        <v>rokwzgl=25 i lp=930</v>
      </c>
      <c r="AE109" s="28" t="str">
        <f t="shared" si="23"/>
        <v>rokwzgl=26 i lp=930</v>
      </c>
      <c r="AF109" s="28" t="str">
        <f t="shared" si="23"/>
        <v>rokwzgl=27 i lp=930</v>
      </c>
      <c r="AG109" s="28" t="str">
        <f t="shared" si="23"/>
        <v>rokwzgl=28 i lp=930</v>
      </c>
      <c r="AH109" s="28" t="str">
        <f t="shared" si="23"/>
        <v>rokwzgl=29 i lp=930</v>
      </c>
    </row>
    <row r="110" spans="1:34">
      <c r="A110" s="27">
        <v>940</v>
      </c>
      <c r="B110" s="27" t="s">
        <v>178</v>
      </c>
      <c r="C110" s="28" t="s">
        <v>135</v>
      </c>
      <c r="D110" s="28" t="str">
        <f t="shared" si="25"/>
        <v>rokwzgl=0 i lp=940</v>
      </c>
      <c r="E110" s="28" t="str">
        <f t="shared" si="25"/>
        <v>rokwzgl=0 i lp=940</v>
      </c>
      <c r="F110" s="28" t="str">
        <f t="shared" si="25"/>
        <v>rokwzgl=1 i lp=940</v>
      </c>
      <c r="G110" s="28" t="str">
        <f t="shared" si="25"/>
        <v>rokwzgl=2 i lp=940</v>
      </c>
      <c r="H110" s="28" t="str">
        <f t="shared" si="25"/>
        <v>rokwzgl=3 i lp=940</v>
      </c>
      <c r="I110" s="28" t="str">
        <f t="shared" si="25"/>
        <v>rokwzgl=4 i lp=940</v>
      </c>
      <c r="J110" s="28" t="str">
        <f t="shared" si="25"/>
        <v>rokwzgl=5 i lp=940</v>
      </c>
      <c r="K110" s="28" t="str">
        <f t="shared" si="25"/>
        <v>rokwzgl=6 i lp=940</v>
      </c>
      <c r="L110" s="28" t="str">
        <f t="shared" si="25"/>
        <v>rokwzgl=7 i lp=940</v>
      </c>
      <c r="M110" s="28" t="str">
        <f t="shared" si="25"/>
        <v>rokwzgl=8 i lp=940</v>
      </c>
      <c r="N110" s="28" t="str">
        <f t="shared" si="24"/>
        <v>rokwzgl=9 i lp=940</v>
      </c>
      <c r="O110" s="28" t="str">
        <f t="shared" si="24"/>
        <v>rokwzgl=10 i lp=940</v>
      </c>
      <c r="P110" s="28" t="str">
        <f t="shared" si="24"/>
        <v>rokwzgl=11 i lp=940</v>
      </c>
      <c r="Q110" s="28" t="str">
        <f t="shared" si="24"/>
        <v>rokwzgl=12 i lp=940</v>
      </c>
      <c r="R110" s="28" t="str">
        <f t="shared" si="24"/>
        <v>rokwzgl=13 i lp=940</v>
      </c>
      <c r="S110" s="28" t="str">
        <f t="shared" si="24"/>
        <v>rokwzgl=14 i lp=940</v>
      </c>
      <c r="T110" s="28" t="str">
        <f t="shared" si="24"/>
        <v>rokwzgl=15 i lp=940</v>
      </c>
      <c r="U110" s="28" t="str">
        <f t="shared" si="24"/>
        <v>rokwzgl=16 i lp=940</v>
      </c>
      <c r="V110" s="28" t="str">
        <f t="shared" si="24"/>
        <v>rokwzgl=17 i lp=940</v>
      </c>
      <c r="W110" s="28" t="str">
        <f t="shared" si="24"/>
        <v>rokwzgl=18 i lp=940</v>
      </c>
      <c r="X110" s="28" t="str">
        <f t="shared" si="23"/>
        <v>rokwzgl=19 i lp=940</v>
      </c>
      <c r="Y110" s="28" t="str">
        <f t="shared" si="23"/>
        <v>rokwzgl=20 i lp=940</v>
      </c>
      <c r="Z110" s="28" t="str">
        <f t="shared" si="23"/>
        <v>rokwzgl=21 i lp=940</v>
      </c>
      <c r="AA110" s="28" t="str">
        <f t="shared" si="23"/>
        <v>rokwzgl=22 i lp=940</v>
      </c>
      <c r="AB110" s="28" t="str">
        <f t="shared" si="23"/>
        <v>rokwzgl=23 i lp=940</v>
      </c>
      <c r="AC110" s="28" t="str">
        <f t="shared" si="23"/>
        <v>rokwzgl=24 i lp=940</v>
      </c>
      <c r="AD110" s="28" t="str">
        <f t="shared" si="23"/>
        <v>rokwzgl=25 i lp=940</v>
      </c>
      <c r="AE110" s="28" t="str">
        <f t="shared" si="23"/>
        <v>rokwzgl=26 i lp=940</v>
      </c>
      <c r="AF110" s="28" t="str">
        <f t="shared" si="23"/>
        <v>rokwzgl=27 i lp=940</v>
      </c>
      <c r="AG110" s="28" t="str">
        <f t="shared" si="23"/>
        <v>rokwzgl=28 i lp=940</v>
      </c>
      <c r="AH110" s="28" t="str">
        <f t="shared" si="23"/>
        <v>rokwzgl=29 i lp=940</v>
      </c>
    </row>
    <row r="111" spans="1:34">
      <c r="A111" s="27">
        <v>950</v>
      </c>
      <c r="B111" s="27">
        <v>15</v>
      </c>
      <c r="C111" s="28" t="s">
        <v>411</v>
      </c>
      <c r="D111" s="28" t="str">
        <f t="shared" si="25"/>
        <v>rokwzgl=0 i lp=950</v>
      </c>
      <c r="E111" s="28" t="str">
        <f t="shared" si="25"/>
        <v>rokwzgl=0 i lp=950</v>
      </c>
      <c r="F111" s="28" t="str">
        <f t="shared" si="25"/>
        <v>rokwzgl=1 i lp=950</v>
      </c>
      <c r="G111" s="28" t="str">
        <f t="shared" si="25"/>
        <v>rokwzgl=2 i lp=950</v>
      </c>
      <c r="H111" s="28" t="str">
        <f t="shared" si="25"/>
        <v>rokwzgl=3 i lp=950</v>
      </c>
      <c r="I111" s="28" t="str">
        <f t="shared" si="25"/>
        <v>rokwzgl=4 i lp=950</v>
      </c>
      <c r="J111" s="28" t="str">
        <f t="shared" si="25"/>
        <v>rokwzgl=5 i lp=950</v>
      </c>
      <c r="K111" s="28" t="str">
        <f t="shared" si="25"/>
        <v>rokwzgl=6 i lp=950</v>
      </c>
      <c r="L111" s="28" t="str">
        <f t="shared" si="25"/>
        <v>rokwzgl=7 i lp=950</v>
      </c>
      <c r="M111" s="28" t="str">
        <f t="shared" si="25"/>
        <v>rokwzgl=8 i lp=950</v>
      </c>
      <c r="N111" s="28" t="str">
        <f t="shared" si="24"/>
        <v>rokwzgl=9 i lp=950</v>
      </c>
      <c r="O111" s="28" t="str">
        <f t="shared" si="24"/>
        <v>rokwzgl=10 i lp=950</v>
      </c>
      <c r="P111" s="28" t="str">
        <f t="shared" si="24"/>
        <v>rokwzgl=11 i lp=950</v>
      </c>
      <c r="Q111" s="28" t="str">
        <f t="shared" si="24"/>
        <v>rokwzgl=12 i lp=950</v>
      </c>
      <c r="R111" s="28" t="str">
        <f t="shared" si="24"/>
        <v>rokwzgl=13 i lp=950</v>
      </c>
      <c r="S111" s="28" t="str">
        <f t="shared" si="24"/>
        <v>rokwzgl=14 i lp=950</v>
      </c>
      <c r="T111" s="28" t="str">
        <f t="shared" si="24"/>
        <v>rokwzgl=15 i lp=950</v>
      </c>
      <c r="U111" s="28" t="str">
        <f t="shared" si="24"/>
        <v>rokwzgl=16 i lp=950</v>
      </c>
      <c r="V111" s="28" t="str">
        <f t="shared" si="24"/>
        <v>rokwzgl=17 i lp=950</v>
      </c>
      <c r="W111" s="28" t="str">
        <f t="shared" si="24"/>
        <v>rokwzgl=18 i lp=950</v>
      </c>
      <c r="X111" s="28" t="str">
        <f t="shared" si="23"/>
        <v>rokwzgl=19 i lp=950</v>
      </c>
      <c r="Y111" s="28" t="str">
        <f t="shared" si="23"/>
        <v>rokwzgl=20 i lp=950</v>
      </c>
      <c r="Z111" s="28" t="str">
        <f t="shared" si="23"/>
        <v>rokwzgl=21 i lp=950</v>
      </c>
      <c r="AA111" s="28" t="str">
        <f t="shared" si="23"/>
        <v>rokwzgl=22 i lp=950</v>
      </c>
      <c r="AB111" s="28" t="str">
        <f t="shared" si="23"/>
        <v>rokwzgl=23 i lp=950</v>
      </c>
      <c r="AC111" s="28" t="str">
        <f t="shared" si="23"/>
        <v>rokwzgl=24 i lp=950</v>
      </c>
      <c r="AD111" s="28" t="str">
        <f t="shared" si="23"/>
        <v>rokwzgl=25 i lp=950</v>
      </c>
      <c r="AE111" s="28" t="str">
        <f t="shared" si="23"/>
        <v>rokwzgl=26 i lp=950</v>
      </c>
      <c r="AF111" s="28" t="str">
        <f t="shared" si="23"/>
        <v>rokwzgl=27 i lp=950</v>
      </c>
      <c r="AG111" s="28" t="str">
        <f t="shared" si="23"/>
        <v>rokwzgl=28 i lp=950</v>
      </c>
      <c r="AH111" s="28" t="str">
        <f t="shared" si="23"/>
        <v>rokwzgl=29 i lp=950</v>
      </c>
    </row>
    <row r="112" spans="1:34">
      <c r="A112" s="27">
        <v>960</v>
      </c>
      <c r="B112" s="27" t="s">
        <v>412</v>
      </c>
      <c r="C112" s="28" t="s">
        <v>413</v>
      </c>
      <c r="D112" s="28" t="str">
        <f t="shared" si="25"/>
        <v>rokwzgl=0 i lp=960</v>
      </c>
      <c r="E112" s="28" t="str">
        <f t="shared" si="25"/>
        <v>rokwzgl=0 i lp=960</v>
      </c>
      <c r="F112" s="28" t="str">
        <f t="shared" si="25"/>
        <v>rokwzgl=1 i lp=960</v>
      </c>
      <c r="G112" s="28" t="str">
        <f t="shared" si="25"/>
        <v>rokwzgl=2 i lp=960</v>
      </c>
      <c r="H112" s="28" t="str">
        <f t="shared" si="25"/>
        <v>rokwzgl=3 i lp=960</v>
      </c>
      <c r="I112" s="28" t="str">
        <f t="shared" si="25"/>
        <v>rokwzgl=4 i lp=960</v>
      </c>
      <c r="J112" s="28" t="str">
        <f t="shared" si="25"/>
        <v>rokwzgl=5 i lp=960</v>
      </c>
      <c r="K112" s="28" t="str">
        <f t="shared" si="25"/>
        <v>rokwzgl=6 i lp=960</v>
      </c>
      <c r="L112" s="28" t="str">
        <f t="shared" si="25"/>
        <v>rokwzgl=7 i lp=960</v>
      </c>
      <c r="M112" s="28" t="str">
        <f t="shared" si="25"/>
        <v>rokwzgl=8 i lp=960</v>
      </c>
      <c r="N112" s="28" t="str">
        <f t="shared" si="24"/>
        <v>rokwzgl=9 i lp=960</v>
      </c>
      <c r="O112" s="28" t="str">
        <f t="shared" si="24"/>
        <v>rokwzgl=10 i lp=960</v>
      </c>
      <c r="P112" s="28" t="str">
        <f t="shared" si="24"/>
        <v>rokwzgl=11 i lp=960</v>
      </c>
      <c r="Q112" s="28" t="str">
        <f t="shared" si="24"/>
        <v>rokwzgl=12 i lp=960</v>
      </c>
      <c r="R112" s="28" t="str">
        <f t="shared" si="24"/>
        <v>rokwzgl=13 i lp=960</v>
      </c>
      <c r="S112" s="28" t="str">
        <f t="shared" si="24"/>
        <v>rokwzgl=14 i lp=960</v>
      </c>
      <c r="T112" s="28" t="str">
        <f t="shared" si="24"/>
        <v>rokwzgl=15 i lp=960</v>
      </c>
      <c r="U112" s="28" t="str">
        <f t="shared" si="24"/>
        <v>rokwzgl=16 i lp=960</v>
      </c>
      <c r="V112" s="28" t="str">
        <f t="shared" si="24"/>
        <v>rokwzgl=17 i lp=960</v>
      </c>
      <c r="W112" s="28" t="str">
        <f t="shared" si="24"/>
        <v>rokwzgl=18 i lp=960</v>
      </c>
      <c r="X112" s="28" t="str">
        <f t="shared" si="23"/>
        <v>rokwzgl=19 i lp=960</v>
      </c>
      <c r="Y112" s="28" t="str">
        <f t="shared" si="23"/>
        <v>rokwzgl=20 i lp=960</v>
      </c>
      <c r="Z112" s="28" t="str">
        <f t="shared" si="23"/>
        <v>rokwzgl=21 i lp=960</v>
      </c>
      <c r="AA112" s="28" t="str">
        <f t="shared" si="23"/>
        <v>rokwzgl=22 i lp=960</v>
      </c>
      <c r="AB112" s="28" t="str">
        <f t="shared" si="23"/>
        <v>rokwzgl=23 i lp=960</v>
      </c>
      <c r="AC112" s="28" t="str">
        <f t="shared" si="23"/>
        <v>rokwzgl=24 i lp=960</v>
      </c>
      <c r="AD112" s="28" t="str">
        <f t="shared" si="23"/>
        <v>rokwzgl=25 i lp=960</v>
      </c>
      <c r="AE112" s="28" t="str">
        <f t="shared" si="23"/>
        <v>rokwzgl=26 i lp=960</v>
      </c>
      <c r="AF112" s="28" t="str">
        <f t="shared" si="23"/>
        <v>rokwzgl=27 i lp=960</v>
      </c>
      <c r="AG112" s="28" t="str">
        <f t="shared" si="23"/>
        <v>rokwzgl=28 i lp=960</v>
      </c>
      <c r="AH112" s="28" t="str">
        <f t="shared" si="23"/>
        <v>rokwzgl=29 i lp=960</v>
      </c>
    </row>
    <row r="113" spans="1:34">
      <c r="A113" s="27">
        <v>970</v>
      </c>
      <c r="B113" s="27" t="s">
        <v>414</v>
      </c>
      <c r="C113" s="28" t="s">
        <v>415</v>
      </c>
      <c r="D113" s="28" t="str">
        <f t="shared" si="25"/>
        <v>rokwzgl=0 i lp=970</v>
      </c>
      <c r="E113" s="28" t="str">
        <f t="shared" si="25"/>
        <v>rokwzgl=0 i lp=970</v>
      </c>
      <c r="F113" s="28" t="str">
        <f t="shared" si="25"/>
        <v>rokwzgl=1 i lp=970</v>
      </c>
      <c r="G113" s="28" t="str">
        <f t="shared" si="25"/>
        <v>rokwzgl=2 i lp=970</v>
      </c>
      <c r="H113" s="28" t="str">
        <f t="shared" si="25"/>
        <v>rokwzgl=3 i lp=970</v>
      </c>
      <c r="I113" s="28" t="str">
        <f t="shared" si="25"/>
        <v>rokwzgl=4 i lp=970</v>
      </c>
      <c r="J113" s="28" t="str">
        <f t="shared" si="25"/>
        <v>rokwzgl=5 i lp=970</v>
      </c>
      <c r="K113" s="28" t="str">
        <f t="shared" si="25"/>
        <v>rokwzgl=6 i lp=970</v>
      </c>
      <c r="L113" s="28" t="str">
        <f t="shared" si="25"/>
        <v>rokwzgl=7 i lp=970</v>
      </c>
      <c r="M113" s="28" t="str">
        <f t="shared" si="25"/>
        <v>rokwzgl=8 i lp=970</v>
      </c>
      <c r="N113" s="28" t="str">
        <f t="shared" si="24"/>
        <v>rokwzgl=9 i lp=970</v>
      </c>
      <c r="O113" s="28" t="str">
        <f t="shared" si="24"/>
        <v>rokwzgl=10 i lp=970</v>
      </c>
      <c r="P113" s="28" t="str">
        <f t="shared" si="24"/>
        <v>rokwzgl=11 i lp=970</v>
      </c>
      <c r="Q113" s="28" t="str">
        <f t="shared" si="24"/>
        <v>rokwzgl=12 i lp=970</v>
      </c>
      <c r="R113" s="28" t="str">
        <f t="shared" si="24"/>
        <v>rokwzgl=13 i lp=970</v>
      </c>
      <c r="S113" s="28" t="str">
        <f t="shared" si="24"/>
        <v>rokwzgl=14 i lp=970</v>
      </c>
      <c r="T113" s="28" t="str">
        <f t="shared" si="24"/>
        <v>rokwzgl=15 i lp=970</v>
      </c>
      <c r="U113" s="28" t="str">
        <f t="shared" si="24"/>
        <v>rokwzgl=16 i lp=970</v>
      </c>
      <c r="V113" s="28" t="str">
        <f t="shared" si="24"/>
        <v>rokwzgl=17 i lp=970</v>
      </c>
      <c r="W113" s="28" t="str">
        <f t="shared" si="24"/>
        <v>rokwzgl=18 i lp=970</v>
      </c>
      <c r="X113" s="28" t="str">
        <f t="shared" si="23"/>
        <v>rokwzgl=19 i lp=970</v>
      </c>
      <c r="Y113" s="28" t="str">
        <f t="shared" si="23"/>
        <v>rokwzgl=20 i lp=970</v>
      </c>
      <c r="Z113" s="28" t="str">
        <f t="shared" si="23"/>
        <v>rokwzgl=21 i lp=970</v>
      </c>
      <c r="AA113" s="28" t="str">
        <f t="shared" si="23"/>
        <v>rokwzgl=22 i lp=970</v>
      </c>
      <c r="AB113" s="28" t="str">
        <f t="shared" si="23"/>
        <v>rokwzgl=23 i lp=970</v>
      </c>
      <c r="AC113" s="28" t="str">
        <f t="shared" si="23"/>
        <v>rokwzgl=24 i lp=970</v>
      </c>
      <c r="AD113" s="28" t="str">
        <f t="shared" si="23"/>
        <v>rokwzgl=25 i lp=970</v>
      </c>
      <c r="AE113" s="28" t="str">
        <f t="shared" si="23"/>
        <v>rokwzgl=26 i lp=970</v>
      </c>
      <c r="AF113" s="28" t="str">
        <f t="shared" si="23"/>
        <v>rokwzgl=27 i lp=970</v>
      </c>
      <c r="AG113" s="28" t="str">
        <f t="shared" si="23"/>
        <v>rokwzgl=28 i lp=970</v>
      </c>
      <c r="AH113" s="28" t="str">
        <f t="shared" si="23"/>
        <v>rokwzgl=29 i lp=970</v>
      </c>
    </row>
    <row r="114" spans="1:34">
      <c r="A114" s="27">
        <v>980</v>
      </c>
      <c r="B114" s="27" t="s">
        <v>416</v>
      </c>
      <c r="C114" s="28" t="s">
        <v>417</v>
      </c>
      <c r="D114" s="28" t="str">
        <f t="shared" si="25"/>
        <v>rokwzgl=0 i lp=980</v>
      </c>
      <c r="E114" s="28" t="str">
        <f t="shared" si="25"/>
        <v>rokwzgl=0 i lp=980</v>
      </c>
      <c r="F114" s="28" t="str">
        <f t="shared" si="25"/>
        <v>rokwzgl=1 i lp=980</v>
      </c>
      <c r="G114" s="28" t="str">
        <f t="shared" si="25"/>
        <v>rokwzgl=2 i lp=980</v>
      </c>
      <c r="H114" s="28" t="str">
        <f t="shared" si="25"/>
        <v>rokwzgl=3 i lp=980</v>
      </c>
      <c r="I114" s="28" t="str">
        <f t="shared" si="25"/>
        <v>rokwzgl=4 i lp=980</v>
      </c>
      <c r="J114" s="28" t="str">
        <f t="shared" si="25"/>
        <v>rokwzgl=5 i lp=980</v>
      </c>
      <c r="K114" s="28" t="str">
        <f t="shared" si="25"/>
        <v>rokwzgl=6 i lp=980</v>
      </c>
      <c r="L114" s="28" t="str">
        <f t="shared" si="25"/>
        <v>rokwzgl=7 i lp=980</v>
      </c>
      <c r="M114" s="28" t="str">
        <f t="shared" si="25"/>
        <v>rokwzgl=8 i lp=980</v>
      </c>
      <c r="N114" s="28" t="str">
        <f t="shared" si="24"/>
        <v>rokwzgl=9 i lp=980</v>
      </c>
      <c r="O114" s="28" t="str">
        <f t="shared" si="24"/>
        <v>rokwzgl=10 i lp=980</v>
      </c>
      <c r="P114" s="28" t="str">
        <f t="shared" si="24"/>
        <v>rokwzgl=11 i lp=980</v>
      </c>
      <c r="Q114" s="28" t="str">
        <f t="shared" si="24"/>
        <v>rokwzgl=12 i lp=980</v>
      </c>
      <c r="R114" s="28" t="str">
        <f t="shared" si="24"/>
        <v>rokwzgl=13 i lp=980</v>
      </c>
      <c r="S114" s="28" t="str">
        <f t="shared" si="24"/>
        <v>rokwzgl=14 i lp=980</v>
      </c>
      <c r="T114" s="28" t="str">
        <f t="shared" si="24"/>
        <v>rokwzgl=15 i lp=980</v>
      </c>
      <c r="U114" s="28" t="str">
        <f t="shared" si="24"/>
        <v>rokwzgl=16 i lp=980</v>
      </c>
      <c r="V114" s="28" t="str">
        <f t="shared" si="24"/>
        <v>rokwzgl=17 i lp=980</v>
      </c>
      <c r="W114" s="28" t="str">
        <f t="shared" si="24"/>
        <v>rokwzgl=18 i lp=980</v>
      </c>
      <c r="X114" s="28" t="str">
        <f t="shared" si="23"/>
        <v>rokwzgl=19 i lp=980</v>
      </c>
      <c r="Y114" s="28" t="str">
        <f t="shared" si="23"/>
        <v>rokwzgl=20 i lp=980</v>
      </c>
      <c r="Z114" s="28" t="str">
        <f t="shared" si="23"/>
        <v>rokwzgl=21 i lp=980</v>
      </c>
      <c r="AA114" s="28" t="str">
        <f t="shared" si="23"/>
        <v>rokwzgl=22 i lp=980</v>
      </c>
      <c r="AB114" s="28" t="str">
        <f t="shared" si="23"/>
        <v>rokwzgl=23 i lp=980</v>
      </c>
      <c r="AC114" s="28" t="str">
        <f t="shared" si="23"/>
        <v>rokwzgl=24 i lp=980</v>
      </c>
      <c r="AD114" s="28" t="str">
        <f t="shared" si="23"/>
        <v>rokwzgl=25 i lp=980</v>
      </c>
      <c r="AE114" s="28" t="str">
        <f t="shared" si="23"/>
        <v>rokwzgl=26 i lp=980</v>
      </c>
      <c r="AF114" s="28" t="str">
        <f t="shared" si="23"/>
        <v>rokwzgl=27 i lp=980</v>
      </c>
      <c r="AG114" s="28" t="str">
        <f t="shared" si="23"/>
        <v>rokwzgl=28 i lp=980</v>
      </c>
      <c r="AH114" s="28" t="str">
        <f t="shared" si="23"/>
        <v>rokwzgl=29 i lp=980</v>
      </c>
    </row>
  </sheetData>
  <customSheetViews>
    <customSheetView guid="{9360F695-77C0-4418-82C5-829A762C44E9}" state="hidden">
      <selection activeCell="D9" sqref="D9"/>
      <pageMargins left="0.7" right="0.7" top="0.75" bottom="0.75" header="0.3" footer="0.3"/>
      <pageSetup paperSize="9" orientation="portrait" r:id="rId1"/>
    </customSheetView>
  </customSheetViews>
  <phoneticPr fontId="0" type="noConversion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3">
    <tabColor rgb="FF00B0F0"/>
  </sheetPr>
  <dimension ref="A1:I84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25"/>
  <cols>
    <col min="7" max="7" width="8.125" customWidth="1"/>
  </cols>
  <sheetData>
    <row r="1" spans="1:9" ht="15">
      <c r="A1" s="3" t="s">
        <v>31</v>
      </c>
      <c r="I1" s="107" t="str">
        <f>Zał.1_WPF_bazowy!D5&amp;" - "&amp;"WPF za lata "&amp;Zał.1_WPF_bazowy!D6&amp;" - Nr Uchwały JST: "&amp;Zał.1_WPF_bazowy!D4</f>
        <v>KOWIESY - WPF za lata 2014 - 2022 - Nr Uchwały JST: XLI/242/14</v>
      </c>
    </row>
    <row r="67" spans="2:9" ht="15">
      <c r="B67" s="3" t="s">
        <v>38</v>
      </c>
      <c r="I67" s="3" t="s">
        <v>38</v>
      </c>
    </row>
    <row r="84" spans="2:9" ht="15">
      <c r="B84" s="3" t="s">
        <v>39</v>
      </c>
      <c r="I84" s="3" t="s">
        <v>39</v>
      </c>
    </row>
  </sheetData>
  <customSheetViews>
    <customSheetView guid="{9360F695-77C0-4418-82C5-829A762C44E9}">
      <rowBreaks count="3" manualBreakCount="3">
        <brk id="34" max="16383" man="1"/>
        <brk id="82" max="16383" man="1"/>
        <brk id="115" max="16383" man="1"/>
      </rowBreaks>
      <pageMargins left="0.70866141732283472" right="0.70866141732283472" top="0.74803149606299213" bottom="0.74803149606299213" header="0.31496062992125984" footer="0.31496062992125984"/>
      <pageSetup paperSize="9" scale="95" orientation="landscape" horizontalDpi="4294967293" r:id="rId1"/>
      <headerFooter>
        <oddFooter>Strona &amp;P z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landscape" horizontalDpi="4294967293" r:id="rId2"/>
  <headerFooter>
    <oddFooter>&amp;L&amp;"Czcionka tekstu podstawowego,Kursywa"&amp;9Wersja szablonu wydruku: 2014-01-23a&amp;C&amp;"Czcionka tekstu podstawowego,Kursywa"&amp;9Strona &amp;P z &amp;N</oddFooter>
  </headerFooter>
  <rowBreaks count="2" manualBreakCount="2">
    <brk id="34" max="16383" man="1"/>
    <brk id="66" max="16383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Q948"/>
  <sheetViews>
    <sheetView workbookViewId="0">
      <selection activeCell="P4" sqref="P4:P948"/>
    </sheetView>
  </sheetViews>
  <sheetFormatPr defaultRowHeight="14.25"/>
  <cols>
    <col min="2" max="2" width="12.5" customWidth="1"/>
    <col min="3" max="3" width="19.75" customWidth="1"/>
    <col min="7" max="7" width="6.25" customWidth="1"/>
    <col min="8" max="8" width="6.875" customWidth="1"/>
    <col min="9" max="9" width="11.25" customWidth="1"/>
    <col min="10" max="10" width="13.5" bestFit="1" customWidth="1"/>
    <col min="12" max="12" width="9" style="268"/>
    <col min="14" max="14" width="16.875" customWidth="1"/>
    <col min="17" max="17" width="12.5" customWidth="1"/>
  </cols>
  <sheetData>
    <row r="1" spans="1:17" ht="15">
      <c r="A1" s="3" t="s">
        <v>23</v>
      </c>
      <c r="M1" s="7" t="s">
        <v>26</v>
      </c>
      <c r="N1" s="14">
        <f>MIN(M:M)</f>
        <v>2014</v>
      </c>
      <c r="P1" t="s">
        <v>211</v>
      </c>
      <c r="Q1">
        <f>MAX(M:M)</f>
        <v>2022</v>
      </c>
    </row>
    <row r="3" spans="1:17" ht="1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353</v>
      </c>
      <c r="M3" s="5" t="s">
        <v>13</v>
      </c>
      <c r="N3" s="5" t="s">
        <v>14</v>
      </c>
      <c r="O3" s="5" t="s">
        <v>17</v>
      </c>
      <c r="P3" s="5" t="s">
        <v>18</v>
      </c>
    </row>
    <row r="4" spans="1:17">
      <c r="A4" s="10">
        <v>2014</v>
      </c>
      <c r="B4" s="11" t="s">
        <v>483</v>
      </c>
      <c r="C4" s="11" t="s">
        <v>484</v>
      </c>
      <c r="D4" s="12">
        <v>1015042</v>
      </c>
      <c r="E4" s="12">
        <v>2</v>
      </c>
      <c r="F4" s="12"/>
      <c r="G4" s="12">
        <v>210</v>
      </c>
      <c r="H4" s="12">
        <v>4</v>
      </c>
      <c r="I4" s="12" t="s">
        <v>367</v>
      </c>
      <c r="J4" s="12" t="s">
        <v>22</v>
      </c>
      <c r="K4" s="12" t="b">
        <v>0</v>
      </c>
      <c r="L4" s="12">
        <v>8</v>
      </c>
      <c r="M4" s="8">
        <v>2022</v>
      </c>
      <c r="N4" s="9">
        <v>0</v>
      </c>
      <c r="O4" s="13">
        <v>41815</v>
      </c>
      <c r="P4" s="13">
        <v>41815</v>
      </c>
    </row>
    <row r="5" spans="1:17">
      <c r="A5" s="10">
        <v>2014</v>
      </c>
      <c r="B5" s="11" t="s">
        <v>483</v>
      </c>
      <c r="C5" s="11" t="s">
        <v>484</v>
      </c>
      <c r="D5" s="12">
        <v>1015042</v>
      </c>
      <c r="E5" s="12">
        <v>2</v>
      </c>
      <c r="F5" s="12"/>
      <c r="G5" s="12">
        <v>210</v>
      </c>
      <c r="H5" s="12">
        <v>4</v>
      </c>
      <c r="I5" s="12" t="s">
        <v>367</v>
      </c>
      <c r="J5" s="12" t="s">
        <v>22</v>
      </c>
      <c r="K5" s="12" t="b">
        <v>0</v>
      </c>
      <c r="L5" s="12">
        <v>7</v>
      </c>
      <c r="M5" s="8">
        <v>2021</v>
      </c>
      <c r="N5" s="9">
        <v>0</v>
      </c>
      <c r="O5" s="13">
        <v>41815</v>
      </c>
      <c r="P5" s="13">
        <v>41815</v>
      </c>
    </row>
    <row r="6" spans="1:17">
      <c r="A6" s="10">
        <v>2014</v>
      </c>
      <c r="B6" s="11" t="s">
        <v>483</v>
      </c>
      <c r="C6" s="11" t="s">
        <v>484</v>
      </c>
      <c r="D6" s="12">
        <v>1015042</v>
      </c>
      <c r="E6" s="12">
        <v>2</v>
      </c>
      <c r="F6" s="12"/>
      <c r="G6" s="12">
        <v>210</v>
      </c>
      <c r="H6" s="12">
        <v>4</v>
      </c>
      <c r="I6" s="12" t="s">
        <v>367</v>
      </c>
      <c r="J6" s="12" t="s">
        <v>22</v>
      </c>
      <c r="K6" s="12" t="b">
        <v>0</v>
      </c>
      <c r="L6" s="12">
        <v>3</v>
      </c>
      <c r="M6" s="8">
        <v>2017</v>
      </c>
      <c r="N6" s="9">
        <v>0</v>
      </c>
      <c r="O6" s="13">
        <v>41815</v>
      </c>
      <c r="P6" s="13">
        <v>41815</v>
      </c>
    </row>
    <row r="7" spans="1:17">
      <c r="A7" s="10">
        <v>2014</v>
      </c>
      <c r="B7" s="11" t="s">
        <v>483</v>
      </c>
      <c r="C7" s="11" t="s">
        <v>484</v>
      </c>
      <c r="D7" s="12">
        <v>1015042</v>
      </c>
      <c r="E7" s="12">
        <v>2</v>
      </c>
      <c r="F7" s="12"/>
      <c r="G7" s="12">
        <v>210</v>
      </c>
      <c r="H7" s="12">
        <v>4</v>
      </c>
      <c r="I7" s="12" t="s">
        <v>367</v>
      </c>
      <c r="J7" s="12" t="s">
        <v>22</v>
      </c>
      <c r="K7" s="12" t="b">
        <v>0</v>
      </c>
      <c r="L7" s="12">
        <v>2</v>
      </c>
      <c r="M7" s="8">
        <v>2016</v>
      </c>
      <c r="N7" s="9">
        <v>0</v>
      </c>
      <c r="O7" s="13">
        <v>41815</v>
      </c>
      <c r="P7" s="13">
        <v>41815</v>
      </c>
    </row>
    <row r="8" spans="1:17">
      <c r="A8" s="10">
        <v>2014</v>
      </c>
      <c r="B8" s="11" t="s">
        <v>483</v>
      </c>
      <c r="C8" s="11" t="s">
        <v>484</v>
      </c>
      <c r="D8" s="12">
        <v>1015042</v>
      </c>
      <c r="E8" s="12">
        <v>2</v>
      </c>
      <c r="F8" s="12"/>
      <c r="G8" s="12">
        <v>210</v>
      </c>
      <c r="H8" s="12">
        <v>4</v>
      </c>
      <c r="I8" s="12" t="s">
        <v>367</v>
      </c>
      <c r="J8" s="12" t="s">
        <v>22</v>
      </c>
      <c r="K8" s="12" t="b">
        <v>0</v>
      </c>
      <c r="L8" s="12">
        <v>6</v>
      </c>
      <c r="M8" s="8">
        <v>2020</v>
      </c>
      <c r="N8" s="9">
        <v>0</v>
      </c>
      <c r="O8" s="13">
        <v>41815</v>
      </c>
      <c r="P8" s="13">
        <v>41815</v>
      </c>
    </row>
    <row r="9" spans="1:17">
      <c r="A9" s="10">
        <v>2014</v>
      </c>
      <c r="B9" s="11" t="s">
        <v>483</v>
      </c>
      <c r="C9" s="11" t="s">
        <v>484</v>
      </c>
      <c r="D9" s="12">
        <v>1015042</v>
      </c>
      <c r="E9" s="12">
        <v>2</v>
      </c>
      <c r="F9" s="12"/>
      <c r="G9" s="12">
        <v>210</v>
      </c>
      <c r="H9" s="12">
        <v>4</v>
      </c>
      <c r="I9" s="12" t="s">
        <v>367</v>
      </c>
      <c r="J9" s="12" t="s">
        <v>22</v>
      </c>
      <c r="K9" s="12" t="b">
        <v>0</v>
      </c>
      <c r="L9" s="12">
        <v>1</v>
      </c>
      <c r="M9" s="8">
        <v>2015</v>
      </c>
      <c r="N9" s="9">
        <v>0</v>
      </c>
      <c r="O9" s="13">
        <v>41815</v>
      </c>
      <c r="P9" s="13">
        <v>41815</v>
      </c>
    </row>
    <row r="10" spans="1:17">
      <c r="A10" s="10">
        <v>2014</v>
      </c>
      <c r="B10" s="11" t="s">
        <v>483</v>
      </c>
      <c r="C10" s="11" t="s">
        <v>484</v>
      </c>
      <c r="D10" s="12">
        <v>1015042</v>
      </c>
      <c r="E10" s="12">
        <v>2</v>
      </c>
      <c r="F10" s="12"/>
      <c r="G10" s="12">
        <v>210</v>
      </c>
      <c r="H10" s="12">
        <v>4</v>
      </c>
      <c r="I10" s="12" t="s">
        <v>367</v>
      </c>
      <c r="J10" s="12" t="s">
        <v>22</v>
      </c>
      <c r="K10" s="12" t="b">
        <v>0</v>
      </c>
      <c r="L10" s="12">
        <v>4</v>
      </c>
      <c r="M10" s="8">
        <v>2018</v>
      </c>
      <c r="N10" s="9">
        <v>0</v>
      </c>
      <c r="O10" s="13">
        <v>41815</v>
      </c>
      <c r="P10" s="13">
        <v>41815</v>
      </c>
    </row>
    <row r="11" spans="1:17">
      <c r="A11" s="10">
        <v>2014</v>
      </c>
      <c r="B11" s="11" t="s">
        <v>483</v>
      </c>
      <c r="C11" s="11" t="s">
        <v>484</v>
      </c>
      <c r="D11" s="12">
        <v>1015042</v>
      </c>
      <c r="E11" s="12">
        <v>2</v>
      </c>
      <c r="F11" s="12"/>
      <c r="G11" s="12">
        <v>210</v>
      </c>
      <c r="H11" s="12">
        <v>4</v>
      </c>
      <c r="I11" s="12" t="s">
        <v>367</v>
      </c>
      <c r="J11" s="12" t="s">
        <v>22</v>
      </c>
      <c r="K11" s="12" t="b">
        <v>0</v>
      </c>
      <c r="L11" s="12">
        <v>0</v>
      </c>
      <c r="M11" s="8">
        <v>2014</v>
      </c>
      <c r="N11" s="9">
        <v>1129834</v>
      </c>
      <c r="O11" s="13">
        <v>41815</v>
      </c>
      <c r="P11" s="13">
        <v>41815</v>
      </c>
    </row>
    <row r="12" spans="1:17">
      <c r="A12" s="10">
        <v>2014</v>
      </c>
      <c r="B12" s="11" t="s">
        <v>483</v>
      </c>
      <c r="C12" s="11" t="s">
        <v>484</v>
      </c>
      <c r="D12" s="12">
        <v>1015042</v>
      </c>
      <c r="E12" s="12">
        <v>2</v>
      </c>
      <c r="F12" s="12"/>
      <c r="G12" s="12">
        <v>210</v>
      </c>
      <c r="H12" s="12">
        <v>4</v>
      </c>
      <c r="I12" s="12" t="s">
        <v>367</v>
      </c>
      <c r="J12" s="12" t="s">
        <v>22</v>
      </c>
      <c r="K12" s="12" t="b">
        <v>0</v>
      </c>
      <c r="L12" s="12">
        <v>5</v>
      </c>
      <c r="M12" s="8">
        <v>2019</v>
      </c>
      <c r="N12" s="9">
        <v>0</v>
      </c>
      <c r="O12" s="13">
        <v>41815</v>
      </c>
      <c r="P12" s="13">
        <v>41815</v>
      </c>
    </row>
    <row r="13" spans="1:17">
      <c r="A13" s="10">
        <v>2014</v>
      </c>
      <c r="B13" s="11" t="s">
        <v>483</v>
      </c>
      <c r="C13" s="11" t="s">
        <v>484</v>
      </c>
      <c r="D13" s="12">
        <v>1015042</v>
      </c>
      <c r="E13" s="12">
        <v>2</v>
      </c>
      <c r="F13" s="12"/>
      <c r="G13" s="12">
        <v>740</v>
      </c>
      <c r="H13" s="12" t="s">
        <v>109</v>
      </c>
      <c r="I13" s="12"/>
      <c r="J13" s="12" t="s">
        <v>110</v>
      </c>
      <c r="K13" s="12" t="b">
        <v>0</v>
      </c>
      <c r="L13" s="12">
        <v>8</v>
      </c>
      <c r="M13" s="8">
        <v>2022</v>
      </c>
      <c r="N13" s="9">
        <v>0</v>
      </c>
      <c r="O13" s="13">
        <v>41815</v>
      </c>
      <c r="P13" s="13">
        <v>41815</v>
      </c>
    </row>
    <row r="14" spans="1:17">
      <c r="A14" s="10">
        <v>2014</v>
      </c>
      <c r="B14" s="11" t="s">
        <v>483</v>
      </c>
      <c r="C14" s="11" t="s">
        <v>484</v>
      </c>
      <c r="D14" s="12">
        <v>1015042</v>
      </c>
      <c r="E14" s="12">
        <v>2</v>
      </c>
      <c r="F14" s="12"/>
      <c r="G14" s="12">
        <v>740</v>
      </c>
      <c r="H14" s="12" t="s">
        <v>109</v>
      </c>
      <c r="I14" s="12"/>
      <c r="J14" s="12" t="s">
        <v>110</v>
      </c>
      <c r="K14" s="12" t="b">
        <v>0</v>
      </c>
      <c r="L14" s="12">
        <v>1</v>
      </c>
      <c r="M14" s="8">
        <v>2015</v>
      </c>
      <c r="N14" s="9">
        <v>60298.32</v>
      </c>
      <c r="O14" s="13">
        <v>41815</v>
      </c>
      <c r="P14" s="13">
        <v>41815</v>
      </c>
    </row>
    <row r="15" spans="1:17">
      <c r="A15" s="10">
        <v>2014</v>
      </c>
      <c r="B15" s="11" t="s">
        <v>483</v>
      </c>
      <c r="C15" s="11" t="s">
        <v>484</v>
      </c>
      <c r="D15" s="12">
        <v>1015042</v>
      </c>
      <c r="E15" s="12">
        <v>2</v>
      </c>
      <c r="F15" s="12"/>
      <c r="G15" s="12">
        <v>740</v>
      </c>
      <c r="H15" s="12" t="s">
        <v>109</v>
      </c>
      <c r="I15" s="12"/>
      <c r="J15" s="12" t="s">
        <v>110</v>
      </c>
      <c r="K15" s="12" t="b">
        <v>0</v>
      </c>
      <c r="L15" s="12">
        <v>5</v>
      </c>
      <c r="M15" s="8">
        <v>2019</v>
      </c>
      <c r="N15" s="9">
        <v>0</v>
      </c>
      <c r="O15" s="13">
        <v>41815</v>
      </c>
      <c r="P15" s="13">
        <v>41815</v>
      </c>
    </row>
    <row r="16" spans="1:17">
      <c r="A16" s="10">
        <v>2014</v>
      </c>
      <c r="B16" s="11" t="s">
        <v>483</v>
      </c>
      <c r="C16" s="11" t="s">
        <v>484</v>
      </c>
      <c r="D16" s="12">
        <v>1015042</v>
      </c>
      <c r="E16" s="12">
        <v>2</v>
      </c>
      <c r="F16" s="12"/>
      <c r="G16" s="12">
        <v>740</v>
      </c>
      <c r="H16" s="12" t="s">
        <v>109</v>
      </c>
      <c r="I16" s="12"/>
      <c r="J16" s="12" t="s">
        <v>110</v>
      </c>
      <c r="K16" s="12" t="b">
        <v>0</v>
      </c>
      <c r="L16" s="12">
        <v>6</v>
      </c>
      <c r="M16" s="8">
        <v>2020</v>
      </c>
      <c r="N16" s="9">
        <v>0</v>
      </c>
      <c r="O16" s="13">
        <v>41815</v>
      </c>
      <c r="P16" s="13">
        <v>41815</v>
      </c>
    </row>
    <row r="17" spans="1:16">
      <c r="A17" s="10">
        <v>2014</v>
      </c>
      <c r="B17" s="11" t="s">
        <v>483</v>
      </c>
      <c r="C17" s="11" t="s">
        <v>484</v>
      </c>
      <c r="D17" s="12">
        <v>1015042</v>
      </c>
      <c r="E17" s="12">
        <v>2</v>
      </c>
      <c r="F17" s="12"/>
      <c r="G17" s="12">
        <v>740</v>
      </c>
      <c r="H17" s="12" t="s">
        <v>109</v>
      </c>
      <c r="I17" s="12"/>
      <c r="J17" s="12" t="s">
        <v>110</v>
      </c>
      <c r="K17" s="12" t="b">
        <v>0</v>
      </c>
      <c r="L17" s="12">
        <v>7</v>
      </c>
      <c r="M17" s="8">
        <v>2021</v>
      </c>
      <c r="N17" s="9">
        <v>0</v>
      </c>
      <c r="O17" s="13">
        <v>41815</v>
      </c>
      <c r="P17" s="13">
        <v>41815</v>
      </c>
    </row>
    <row r="18" spans="1:16">
      <c r="A18" s="10">
        <v>2014</v>
      </c>
      <c r="B18" s="11" t="s">
        <v>483</v>
      </c>
      <c r="C18" s="11" t="s">
        <v>484</v>
      </c>
      <c r="D18" s="12">
        <v>1015042</v>
      </c>
      <c r="E18" s="12">
        <v>2</v>
      </c>
      <c r="F18" s="12"/>
      <c r="G18" s="12">
        <v>740</v>
      </c>
      <c r="H18" s="12" t="s">
        <v>109</v>
      </c>
      <c r="I18" s="12"/>
      <c r="J18" s="12" t="s">
        <v>110</v>
      </c>
      <c r="K18" s="12" t="b">
        <v>0</v>
      </c>
      <c r="L18" s="12">
        <v>4</v>
      </c>
      <c r="M18" s="8">
        <v>2018</v>
      </c>
      <c r="N18" s="9">
        <v>0</v>
      </c>
      <c r="O18" s="13">
        <v>41815</v>
      </c>
      <c r="P18" s="13">
        <v>41815</v>
      </c>
    </row>
    <row r="19" spans="1:16">
      <c r="A19" s="10">
        <v>2014</v>
      </c>
      <c r="B19" s="11" t="s">
        <v>483</v>
      </c>
      <c r="C19" s="11" t="s">
        <v>484</v>
      </c>
      <c r="D19" s="12">
        <v>1015042</v>
      </c>
      <c r="E19" s="12">
        <v>2</v>
      </c>
      <c r="F19" s="12"/>
      <c r="G19" s="12">
        <v>740</v>
      </c>
      <c r="H19" s="12" t="s">
        <v>109</v>
      </c>
      <c r="I19" s="12"/>
      <c r="J19" s="12" t="s">
        <v>110</v>
      </c>
      <c r="K19" s="12" t="b">
        <v>0</v>
      </c>
      <c r="L19" s="12">
        <v>0</v>
      </c>
      <c r="M19" s="8">
        <v>2014</v>
      </c>
      <c r="N19" s="9">
        <v>141827.34</v>
      </c>
      <c r="O19" s="13">
        <v>41815</v>
      </c>
      <c r="P19" s="13">
        <v>41815</v>
      </c>
    </row>
    <row r="20" spans="1:16">
      <c r="A20" s="10">
        <v>2014</v>
      </c>
      <c r="B20" s="11" t="s">
        <v>483</v>
      </c>
      <c r="C20" s="11" t="s">
        <v>484</v>
      </c>
      <c r="D20" s="12">
        <v>1015042</v>
      </c>
      <c r="E20" s="12">
        <v>2</v>
      </c>
      <c r="F20" s="12"/>
      <c r="G20" s="12">
        <v>740</v>
      </c>
      <c r="H20" s="12" t="s">
        <v>109</v>
      </c>
      <c r="I20" s="12"/>
      <c r="J20" s="12" t="s">
        <v>110</v>
      </c>
      <c r="K20" s="12" t="b">
        <v>0</v>
      </c>
      <c r="L20" s="12">
        <v>3</v>
      </c>
      <c r="M20" s="8">
        <v>2017</v>
      </c>
      <c r="N20" s="9">
        <v>0</v>
      </c>
      <c r="O20" s="13">
        <v>41815</v>
      </c>
      <c r="P20" s="13">
        <v>41815</v>
      </c>
    </row>
    <row r="21" spans="1:16">
      <c r="A21" s="10">
        <v>2014</v>
      </c>
      <c r="B21" s="11" t="s">
        <v>483</v>
      </c>
      <c r="C21" s="11" t="s">
        <v>484</v>
      </c>
      <c r="D21" s="12">
        <v>1015042</v>
      </c>
      <c r="E21" s="12">
        <v>2</v>
      </c>
      <c r="F21" s="12"/>
      <c r="G21" s="12">
        <v>740</v>
      </c>
      <c r="H21" s="12" t="s">
        <v>109</v>
      </c>
      <c r="I21" s="12"/>
      <c r="J21" s="12" t="s">
        <v>110</v>
      </c>
      <c r="K21" s="12" t="b">
        <v>0</v>
      </c>
      <c r="L21" s="12">
        <v>2</v>
      </c>
      <c r="M21" s="8">
        <v>2016</v>
      </c>
      <c r="N21" s="9">
        <v>0</v>
      </c>
      <c r="O21" s="13">
        <v>41815</v>
      </c>
      <c r="P21" s="13">
        <v>41815</v>
      </c>
    </row>
    <row r="22" spans="1:16">
      <c r="A22" s="10">
        <v>2014</v>
      </c>
      <c r="B22" s="11" t="s">
        <v>483</v>
      </c>
      <c r="C22" s="11" t="s">
        <v>484</v>
      </c>
      <c r="D22" s="12">
        <v>1015042</v>
      </c>
      <c r="E22" s="12">
        <v>2</v>
      </c>
      <c r="F22" s="12"/>
      <c r="G22" s="12">
        <v>850</v>
      </c>
      <c r="H22" s="12">
        <v>13.6</v>
      </c>
      <c r="I22" s="12"/>
      <c r="J22" s="12" t="s">
        <v>124</v>
      </c>
      <c r="K22" s="12" t="b">
        <v>1</v>
      </c>
      <c r="L22" s="12">
        <v>4</v>
      </c>
      <c r="M22" s="8">
        <v>2018</v>
      </c>
      <c r="N22" s="9">
        <v>0</v>
      </c>
      <c r="O22" s="13">
        <v>41815</v>
      </c>
      <c r="P22" s="13">
        <v>41815</v>
      </c>
    </row>
    <row r="23" spans="1:16">
      <c r="A23" s="10">
        <v>2014</v>
      </c>
      <c r="B23" s="11" t="s">
        <v>483</v>
      </c>
      <c r="C23" s="11" t="s">
        <v>484</v>
      </c>
      <c r="D23" s="12">
        <v>1015042</v>
      </c>
      <c r="E23" s="12">
        <v>2</v>
      </c>
      <c r="F23" s="12"/>
      <c r="G23" s="12">
        <v>850</v>
      </c>
      <c r="H23" s="12">
        <v>13.6</v>
      </c>
      <c r="I23" s="12"/>
      <c r="J23" s="12" t="s">
        <v>124</v>
      </c>
      <c r="K23" s="12" t="b">
        <v>1</v>
      </c>
      <c r="L23" s="12">
        <v>1</v>
      </c>
      <c r="M23" s="8">
        <v>2015</v>
      </c>
      <c r="N23" s="9">
        <v>0</v>
      </c>
      <c r="O23" s="13">
        <v>41815</v>
      </c>
      <c r="P23" s="13">
        <v>41815</v>
      </c>
    </row>
    <row r="24" spans="1:16">
      <c r="A24" s="10">
        <v>2014</v>
      </c>
      <c r="B24" s="11" t="s">
        <v>483</v>
      </c>
      <c r="C24" s="11" t="s">
        <v>484</v>
      </c>
      <c r="D24" s="12">
        <v>1015042</v>
      </c>
      <c r="E24" s="12">
        <v>2</v>
      </c>
      <c r="F24" s="12"/>
      <c r="G24" s="12">
        <v>850</v>
      </c>
      <c r="H24" s="12">
        <v>13.6</v>
      </c>
      <c r="I24" s="12"/>
      <c r="J24" s="12" t="s">
        <v>124</v>
      </c>
      <c r="K24" s="12" t="b">
        <v>1</v>
      </c>
      <c r="L24" s="12">
        <v>6</v>
      </c>
      <c r="M24" s="8">
        <v>2020</v>
      </c>
      <c r="N24" s="9">
        <v>0</v>
      </c>
      <c r="O24" s="13">
        <v>41815</v>
      </c>
      <c r="P24" s="13">
        <v>41815</v>
      </c>
    </row>
    <row r="25" spans="1:16">
      <c r="A25" s="10">
        <v>2014</v>
      </c>
      <c r="B25" s="11" t="s">
        <v>483</v>
      </c>
      <c r="C25" s="11" t="s">
        <v>484</v>
      </c>
      <c r="D25" s="12">
        <v>1015042</v>
      </c>
      <c r="E25" s="12">
        <v>2</v>
      </c>
      <c r="F25" s="12"/>
      <c r="G25" s="12">
        <v>850</v>
      </c>
      <c r="H25" s="12">
        <v>13.6</v>
      </c>
      <c r="I25" s="12"/>
      <c r="J25" s="12" t="s">
        <v>124</v>
      </c>
      <c r="K25" s="12" t="b">
        <v>1</v>
      </c>
      <c r="L25" s="12">
        <v>0</v>
      </c>
      <c r="M25" s="8">
        <v>2014</v>
      </c>
      <c r="N25" s="9">
        <v>0</v>
      </c>
      <c r="O25" s="13">
        <v>41815</v>
      </c>
      <c r="P25" s="13">
        <v>41815</v>
      </c>
    </row>
    <row r="26" spans="1:16">
      <c r="A26" s="10">
        <v>2014</v>
      </c>
      <c r="B26" s="11" t="s">
        <v>483</v>
      </c>
      <c r="C26" s="11" t="s">
        <v>484</v>
      </c>
      <c r="D26" s="12">
        <v>1015042</v>
      </c>
      <c r="E26" s="12">
        <v>2</v>
      </c>
      <c r="F26" s="12"/>
      <c r="G26" s="12">
        <v>850</v>
      </c>
      <c r="H26" s="12">
        <v>13.6</v>
      </c>
      <c r="I26" s="12"/>
      <c r="J26" s="12" t="s">
        <v>124</v>
      </c>
      <c r="K26" s="12" t="b">
        <v>1</v>
      </c>
      <c r="L26" s="12">
        <v>2</v>
      </c>
      <c r="M26" s="8">
        <v>2016</v>
      </c>
      <c r="N26" s="9">
        <v>0</v>
      </c>
      <c r="O26" s="13">
        <v>41815</v>
      </c>
      <c r="P26" s="13">
        <v>41815</v>
      </c>
    </row>
    <row r="27" spans="1:16">
      <c r="A27" s="10">
        <v>2014</v>
      </c>
      <c r="B27" s="11" t="s">
        <v>483</v>
      </c>
      <c r="C27" s="11" t="s">
        <v>484</v>
      </c>
      <c r="D27" s="12">
        <v>1015042</v>
      </c>
      <c r="E27" s="12">
        <v>2</v>
      </c>
      <c r="F27" s="12"/>
      <c r="G27" s="12">
        <v>850</v>
      </c>
      <c r="H27" s="12">
        <v>13.6</v>
      </c>
      <c r="I27" s="12"/>
      <c r="J27" s="12" t="s">
        <v>124</v>
      </c>
      <c r="K27" s="12" t="b">
        <v>1</v>
      </c>
      <c r="L27" s="12">
        <v>5</v>
      </c>
      <c r="M27" s="8">
        <v>2019</v>
      </c>
      <c r="N27" s="9">
        <v>0</v>
      </c>
      <c r="O27" s="13">
        <v>41815</v>
      </c>
      <c r="P27" s="13">
        <v>41815</v>
      </c>
    </row>
    <row r="28" spans="1:16">
      <c r="A28" s="10">
        <v>2014</v>
      </c>
      <c r="B28" s="11" t="s">
        <v>483</v>
      </c>
      <c r="C28" s="11" t="s">
        <v>484</v>
      </c>
      <c r="D28" s="12">
        <v>1015042</v>
      </c>
      <c r="E28" s="12">
        <v>2</v>
      </c>
      <c r="F28" s="12"/>
      <c r="G28" s="12">
        <v>850</v>
      </c>
      <c r="H28" s="12">
        <v>13.6</v>
      </c>
      <c r="I28" s="12"/>
      <c r="J28" s="12" t="s">
        <v>124</v>
      </c>
      <c r="K28" s="12" t="b">
        <v>1</v>
      </c>
      <c r="L28" s="12">
        <v>8</v>
      </c>
      <c r="M28" s="8">
        <v>2022</v>
      </c>
      <c r="N28" s="9">
        <v>0</v>
      </c>
      <c r="O28" s="13">
        <v>41815</v>
      </c>
      <c r="P28" s="13">
        <v>41815</v>
      </c>
    </row>
    <row r="29" spans="1:16">
      <c r="A29" s="10">
        <v>2014</v>
      </c>
      <c r="B29" s="11" t="s">
        <v>483</v>
      </c>
      <c r="C29" s="11" t="s">
        <v>484</v>
      </c>
      <c r="D29" s="12">
        <v>1015042</v>
      </c>
      <c r="E29" s="12">
        <v>2</v>
      </c>
      <c r="F29" s="12"/>
      <c r="G29" s="12">
        <v>850</v>
      </c>
      <c r="H29" s="12">
        <v>13.6</v>
      </c>
      <c r="I29" s="12"/>
      <c r="J29" s="12" t="s">
        <v>124</v>
      </c>
      <c r="K29" s="12" t="b">
        <v>1</v>
      </c>
      <c r="L29" s="12">
        <v>7</v>
      </c>
      <c r="M29" s="8">
        <v>2021</v>
      </c>
      <c r="N29" s="9">
        <v>0</v>
      </c>
      <c r="O29" s="13">
        <v>41815</v>
      </c>
      <c r="P29" s="13">
        <v>41815</v>
      </c>
    </row>
    <row r="30" spans="1:16">
      <c r="A30" s="10">
        <v>2014</v>
      </c>
      <c r="B30" s="11" t="s">
        <v>483</v>
      </c>
      <c r="C30" s="11" t="s">
        <v>484</v>
      </c>
      <c r="D30" s="12">
        <v>1015042</v>
      </c>
      <c r="E30" s="12">
        <v>2</v>
      </c>
      <c r="F30" s="12"/>
      <c r="G30" s="12">
        <v>850</v>
      </c>
      <c r="H30" s="12">
        <v>13.6</v>
      </c>
      <c r="I30" s="12"/>
      <c r="J30" s="12" t="s">
        <v>124</v>
      </c>
      <c r="K30" s="12" t="b">
        <v>1</v>
      </c>
      <c r="L30" s="12">
        <v>3</v>
      </c>
      <c r="M30" s="8">
        <v>2017</v>
      </c>
      <c r="N30" s="9">
        <v>0</v>
      </c>
      <c r="O30" s="13">
        <v>41815</v>
      </c>
      <c r="P30" s="13">
        <v>41815</v>
      </c>
    </row>
    <row r="31" spans="1:16">
      <c r="A31" s="10">
        <v>2014</v>
      </c>
      <c r="B31" s="11" t="s">
        <v>483</v>
      </c>
      <c r="C31" s="11" t="s">
        <v>484</v>
      </c>
      <c r="D31" s="12">
        <v>1015042</v>
      </c>
      <c r="E31" s="12">
        <v>2</v>
      </c>
      <c r="F31" s="12"/>
      <c r="G31" s="12">
        <v>970</v>
      </c>
      <c r="H31" s="12" t="s">
        <v>414</v>
      </c>
      <c r="I31" s="12"/>
      <c r="J31" s="12" t="s">
        <v>415</v>
      </c>
      <c r="K31" s="12" t="b">
        <v>1</v>
      </c>
      <c r="L31" s="12">
        <v>2</v>
      </c>
      <c r="M31" s="8">
        <v>2016</v>
      </c>
      <c r="N31" s="9">
        <v>0</v>
      </c>
      <c r="O31" s="13">
        <v>41815</v>
      </c>
      <c r="P31" s="13">
        <v>41815</v>
      </c>
    </row>
    <row r="32" spans="1:16">
      <c r="A32" s="10">
        <v>2014</v>
      </c>
      <c r="B32" s="11" t="s">
        <v>483</v>
      </c>
      <c r="C32" s="11" t="s">
        <v>484</v>
      </c>
      <c r="D32" s="12">
        <v>1015042</v>
      </c>
      <c r="E32" s="12">
        <v>2</v>
      </c>
      <c r="F32" s="12"/>
      <c r="G32" s="12">
        <v>970</v>
      </c>
      <c r="H32" s="12" t="s">
        <v>414</v>
      </c>
      <c r="I32" s="12"/>
      <c r="J32" s="12" t="s">
        <v>415</v>
      </c>
      <c r="K32" s="12" t="b">
        <v>1</v>
      </c>
      <c r="L32" s="12">
        <v>6</v>
      </c>
      <c r="M32" s="8">
        <v>2020</v>
      </c>
      <c r="N32" s="9">
        <v>0</v>
      </c>
      <c r="O32" s="13">
        <v>41815</v>
      </c>
      <c r="P32" s="13">
        <v>41815</v>
      </c>
    </row>
    <row r="33" spans="1:16">
      <c r="A33" s="10">
        <v>2014</v>
      </c>
      <c r="B33" s="11" t="s">
        <v>483</v>
      </c>
      <c r="C33" s="11" t="s">
        <v>484</v>
      </c>
      <c r="D33" s="12">
        <v>1015042</v>
      </c>
      <c r="E33" s="12">
        <v>2</v>
      </c>
      <c r="F33" s="12"/>
      <c r="G33" s="12">
        <v>970</v>
      </c>
      <c r="H33" s="12" t="s">
        <v>414</v>
      </c>
      <c r="I33" s="12"/>
      <c r="J33" s="12" t="s">
        <v>415</v>
      </c>
      <c r="K33" s="12" t="b">
        <v>1</v>
      </c>
      <c r="L33" s="12">
        <v>0</v>
      </c>
      <c r="M33" s="8">
        <v>2014</v>
      </c>
      <c r="N33" s="9">
        <v>0</v>
      </c>
      <c r="O33" s="13">
        <v>41815</v>
      </c>
      <c r="P33" s="13">
        <v>41815</v>
      </c>
    </row>
    <row r="34" spans="1:16">
      <c r="A34" s="10">
        <v>2014</v>
      </c>
      <c r="B34" s="11" t="s">
        <v>483</v>
      </c>
      <c r="C34" s="11" t="s">
        <v>484</v>
      </c>
      <c r="D34" s="12">
        <v>1015042</v>
      </c>
      <c r="E34" s="12">
        <v>2</v>
      </c>
      <c r="F34" s="12"/>
      <c r="G34" s="12">
        <v>970</v>
      </c>
      <c r="H34" s="12" t="s">
        <v>414</v>
      </c>
      <c r="I34" s="12"/>
      <c r="J34" s="12" t="s">
        <v>415</v>
      </c>
      <c r="K34" s="12" t="b">
        <v>1</v>
      </c>
      <c r="L34" s="12">
        <v>8</v>
      </c>
      <c r="M34" s="8">
        <v>2022</v>
      </c>
      <c r="N34" s="9">
        <v>0</v>
      </c>
      <c r="O34" s="13">
        <v>41815</v>
      </c>
      <c r="P34" s="13">
        <v>41815</v>
      </c>
    </row>
    <row r="35" spans="1:16">
      <c r="A35" s="10">
        <v>2014</v>
      </c>
      <c r="B35" s="11" t="s">
        <v>483</v>
      </c>
      <c r="C35" s="11" t="s">
        <v>484</v>
      </c>
      <c r="D35" s="12">
        <v>1015042</v>
      </c>
      <c r="E35" s="12">
        <v>2</v>
      </c>
      <c r="F35" s="12"/>
      <c r="G35" s="12">
        <v>970</v>
      </c>
      <c r="H35" s="12" t="s">
        <v>414</v>
      </c>
      <c r="I35" s="12"/>
      <c r="J35" s="12" t="s">
        <v>415</v>
      </c>
      <c r="K35" s="12" t="b">
        <v>1</v>
      </c>
      <c r="L35" s="12">
        <v>7</v>
      </c>
      <c r="M35" s="8">
        <v>2021</v>
      </c>
      <c r="N35" s="9">
        <v>0</v>
      </c>
      <c r="O35" s="13">
        <v>41815</v>
      </c>
      <c r="P35" s="13">
        <v>41815</v>
      </c>
    </row>
    <row r="36" spans="1:16">
      <c r="A36" s="10">
        <v>2014</v>
      </c>
      <c r="B36" s="11" t="s">
        <v>483</v>
      </c>
      <c r="C36" s="11" t="s">
        <v>484</v>
      </c>
      <c r="D36" s="12">
        <v>1015042</v>
      </c>
      <c r="E36" s="12">
        <v>2</v>
      </c>
      <c r="F36" s="12"/>
      <c r="G36" s="12">
        <v>970</v>
      </c>
      <c r="H36" s="12" t="s">
        <v>414</v>
      </c>
      <c r="I36" s="12"/>
      <c r="J36" s="12" t="s">
        <v>415</v>
      </c>
      <c r="K36" s="12" t="b">
        <v>1</v>
      </c>
      <c r="L36" s="12">
        <v>5</v>
      </c>
      <c r="M36" s="8">
        <v>2019</v>
      </c>
      <c r="N36" s="9">
        <v>0</v>
      </c>
      <c r="O36" s="13">
        <v>41815</v>
      </c>
      <c r="P36" s="13">
        <v>41815</v>
      </c>
    </row>
    <row r="37" spans="1:16">
      <c r="A37" s="10">
        <v>2014</v>
      </c>
      <c r="B37" s="11" t="s">
        <v>483</v>
      </c>
      <c r="C37" s="11" t="s">
        <v>484</v>
      </c>
      <c r="D37" s="12">
        <v>1015042</v>
      </c>
      <c r="E37" s="12">
        <v>2</v>
      </c>
      <c r="F37" s="12"/>
      <c r="G37" s="12">
        <v>970</v>
      </c>
      <c r="H37" s="12" t="s">
        <v>414</v>
      </c>
      <c r="I37" s="12"/>
      <c r="J37" s="12" t="s">
        <v>415</v>
      </c>
      <c r="K37" s="12" t="b">
        <v>1</v>
      </c>
      <c r="L37" s="12">
        <v>4</v>
      </c>
      <c r="M37" s="8">
        <v>2018</v>
      </c>
      <c r="N37" s="9">
        <v>0</v>
      </c>
      <c r="O37" s="13">
        <v>41815</v>
      </c>
      <c r="P37" s="13">
        <v>41815</v>
      </c>
    </row>
    <row r="38" spans="1:16">
      <c r="A38" s="10">
        <v>2014</v>
      </c>
      <c r="B38" s="11" t="s">
        <v>483</v>
      </c>
      <c r="C38" s="11" t="s">
        <v>484</v>
      </c>
      <c r="D38" s="12">
        <v>1015042</v>
      </c>
      <c r="E38" s="12">
        <v>2</v>
      </c>
      <c r="F38" s="12"/>
      <c r="G38" s="12">
        <v>970</v>
      </c>
      <c r="H38" s="12" t="s">
        <v>414</v>
      </c>
      <c r="I38" s="12"/>
      <c r="J38" s="12" t="s">
        <v>415</v>
      </c>
      <c r="K38" s="12" t="b">
        <v>1</v>
      </c>
      <c r="L38" s="12">
        <v>3</v>
      </c>
      <c r="M38" s="8">
        <v>2017</v>
      </c>
      <c r="N38" s="9">
        <v>0</v>
      </c>
      <c r="O38" s="13">
        <v>41815</v>
      </c>
      <c r="P38" s="13">
        <v>41815</v>
      </c>
    </row>
    <row r="39" spans="1:16">
      <c r="A39" s="10">
        <v>2014</v>
      </c>
      <c r="B39" s="11" t="s">
        <v>483</v>
      </c>
      <c r="C39" s="11" t="s">
        <v>484</v>
      </c>
      <c r="D39" s="12">
        <v>1015042</v>
      </c>
      <c r="E39" s="12">
        <v>2</v>
      </c>
      <c r="F39" s="12"/>
      <c r="G39" s="12">
        <v>970</v>
      </c>
      <c r="H39" s="12" t="s">
        <v>414</v>
      </c>
      <c r="I39" s="12"/>
      <c r="J39" s="12" t="s">
        <v>415</v>
      </c>
      <c r="K39" s="12" t="b">
        <v>1</v>
      </c>
      <c r="L39" s="12">
        <v>1</v>
      </c>
      <c r="M39" s="8">
        <v>2015</v>
      </c>
      <c r="N39" s="9">
        <v>0</v>
      </c>
      <c r="O39" s="13">
        <v>41815</v>
      </c>
      <c r="P39" s="13">
        <v>41815</v>
      </c>
    </row>
    <row r="40" spans="1:16">
      <c r="A40" s="10">
        <v>2014</v>
      </c>
      <c r="B40" s="11" t="s">
        <v>483</v>
      </c>
      <c r="C40" s="11" t="s">
        <v>484</v>
      </c>
      <c r="D40" s="12">
        <v>1015042</v>
      </c>
      <c r="E40" s="12">
        <v>2</v>
      </c>
      <c r="F40" s="12"/>
      <c r="G40" s="12">
        <v>200</v>
      </c>
      <c r="H40" s="12">
        <v>3</v>
      </c>
      <c r="I40" s="12" t="s">
        <v>366</v>
      </c>
      <c r="J40" s="12" t="s">
        <v>21</v>
      </c>
      <c r="K40" s="12" t="b">
        <v>0</v>
      </c>
      <c r="L40" s="12">
        <v>0</v>
      </c>
      <c r="M40" s="8">
        <v>2014</v>
      </c>
      <c r="N40" s="9">
        <v>-657213</v>
      </c>
      <c r="O40" s="13">
        <v>41815</v>
      </c>
      <c r="P40" s="13">
        <v>41815</v>
      </c>
    </row>
    <row r="41" spans="1:16">
      <c r="A41" s="10">
        <v>2014</v>
      </c>
      <c r="B41" s="11" t="s">
        <v>483</v>
      </c>
      <c r="C41" s="11" t="s">
        <v>484</v>
      </c>
      <c r="D41" s="12">
        <v>1015042</v>
      </c>
      <c r="E41" s="12">
        <v>2</v>
      </c>
      <c r="F41" s="12"/>
      <c r="G41" s="12">
        <v>200</v>
      </c>
      <c r="H41" s="12">
        <v>3</v>
      </c>
      <c r="I41" s="12" t="s">
        <v>366</v>
      </c>
      <c r="J41" s="12" t="s">
        <v>21</v>
      </c>
      <c r="K41" s="12" t="b">
        <v>0</v>
      </c>
      <c r="L41" s="12">
        <v>1</v>
      </c>
      <c r="M41" s="8">
        <v>2015</v>
      </c>
      <c r="N41" s="9">
        <v>537692</v>
      </c>
      <c r="O41" s="13">
        <v>41815</v>
      </c>
      <c r="P41" s="13">
        <v>41815</v>
      </c>
    </row>
    <row r="42" spans="1:16">
      <c r="A42" s="10">
        <v>2014</v>
      </c>
      <c r="B42" s="11" t="s">
        <v>483</v>
      </c>
      <c r="C42" s="11" t="s">
        <v>484</v>
      </c>
      <c r="D42" s="12">
        <v>1015042</v>
      </c>
      <c r="E42" s="12">
        <v>2</v>
      </c>
      <c r="F42" s="12"/>
      <c r="G42" s="12">
        <v>200</v>
      </c>
      <c r="H42" s="12">
        <v>3</v>
      </c>
      <c r="I42" s="12" t="s">
        <v>366</v>
      </c>
      <c r="J42" s="12" t="s">
        <v>21</v>
      </c>
      <c r="K42" s="12" t="b">
        <v>0</v>
      </c>
      <c r="L42" s="12">
        <v>6</v>
      </c>
      <c r="M42" s="8">
        <v>2020</v>
      </c>
      <c r="N42" s="9">
        <v>250000</v>
      </c>
      <c r="O42" s="13">
        <v>41815</v>
      </c>
      <c r="P42" s="13">
        <v>41815</v>
      </c>
    </row>
    <row r="43" spans="1:16">
      <c r="A43" s="10">
        <v>2014</v>
      </c>
      <c r="B43" s="11" t="s">
        <v>483</v>
      </c>
      <c r="C43" s="11" t="s">
        <v>484</v>
      </c>
      <c r="D43" s="12">
        <v>1015042</v>
      </c>
      <c r="E43" s="12">
        <v>2</v>
      </c>
      <c r="F43" s="12"/>
      <c r="G43" s="12">
        <v>200</v>
      </c>
      <c r="H43" s="12">
        <v>3</v>
      </c>
      <c r="I43" s="12" t="s">
        <v>366</v>
      </c>
      <c r="J43" s="12" t="s">
        <v>21</v>
      </c>
      <c r="K43" s="12" t="b">
        <v>0</v>
      </c>
      <c r="L43" s="12">
        <v>8</v>
      </c>
      <c r="M43" s="8">
        <v>2022</v>
      </c>
      <c r="N43" s="9">
        <v>38333.15</v>
      </c>
      <c r="O43" s="13">
        <v>41815</v>
      </c>
      <c r="P43" s="13">
        <v>41815</v>
      </c>
    </row>
    <row r="44" spans="1:16">
      <c r="A44" s="10">
        <v>2014</v>
      </c>
      <c r="B44" s="11" t="s">
        <v>483</v>
      </c>
      <c r="C44" s="11" t="s">
        <v>484</v>
      </c>
      <c r="D44" s="12">
        <v>1015042</v>
      </c>
      <c r="E44" s="12">
        <v>2</v>
      </c>
      <c r="F44" s="12"/>
      <c r="G44" s="12">
        <v>200</v>
      </c>
      <c r="H44" s="12">
        <v>3</v>
      </c>
      <c r="I44" s="12" t="s">
        <v>366</v>
      </c>
      <c r="J44" s="12" t="s">
        <v>21</v>
      </c>
      <c r="K44" s="12" t="b">
        <v>0</v>
      </c>
      <c r="L44" s="12">
        <v>5</v>
      </c>
      <c r="M44" s="8">
        <v>2019</v>
      </c>
      <c r="N44" s="9">
        <v>300000</v>
      </c>
      <c r="O44" s="13">
        <v>41815</v>
      </c>
      <c r="P44" s="13">
        <v>41815</v>
      </c>
    </row>
    <row r="45" spans="1:16">
      <c r="A45" s="10">
        <v>2014</v>
      </c>
      <c r="B45" s="11" t="s">
        <v>483</v>
      </c>
      <c r="C45" s="11" t="s">
        <v>484</v>
      </c>
      <c r="D45" s="12">
        <v>1015042</v>
      </c>
      <c r="E45" s="12">
        <v>2</v>
      </c>
      <c r="F45" s="12"/>
      <c r="G45" s="12">
        <v>200</v>
      </c>
      <c r="H45" s="12">
        <v>3</v>
      </c>
      <c r="I45" s="12" t="s">
        <v>366</v>
      </c>
      <c r="J45" s="12" t="s">
        <v>21</v>
      </c>
      <c r="K45" s="12" t="b">
        <v>0</v>
      </c>
      <c r="L45" s="12">
        <v>7</v>
      </c>
      <c r="M45" s="8">
        <v>2021</v>
      </c>
      <c r="N45" s="9">
        <v>100000</v>
      </c>
      <c r="O45" s="13">
        <v>41815</v>
      </c>
      <c r="P45" s="13">
        <v>41815</v>
      </c>
    </row>
    <row r="46" spans="1:16">
      <c r="A46" s="10">
        <v>2014</v>
      </c>
      <c r="B46" s="11" t="s">
        <v>483</v>
      </c>
      <c r="C46" s="11" t="s">
        <v>484</v>
      </c>
      <c r="D46" s="12">
        <v>1015042</v>
      </c>
      <c r="E46" s="12">
        <v>2</v>
      </c>
      <c r="F46" s="12"/>
      <c r="G46" s="12">
        <v>200</v>
      </c>
      <c r="H46" s="12">
        <v>3</v>
      </c>
      <c r="I46" s="12" t="s">
        <v>366</v>
      </c>
      <c r="J46" s="12" t="s">
        <v>21</v>
      </c>
      <c r="K46" s="12" t="b">
        <v>0</v>
      </c>
      <c r="L46" s="12">
        <v>4</v>
      </c>
      <c r="M46" s="8">
        <v>2018</v>
      </c>
      <c r="N46" s="9">
        <v>350000</v>
      </c>
      <c r="O46" s="13">
        <v>41815</v>
      </c>
      <c r="P46" s="13">
        <v>41815</v>
      </c>
    </row>
    <row r="47" spans="1:16">
      <c r="A47" s="10">
        <v>2014</v>
      </c>
      <c r="B47" s="11" t="s">
        <v>483</v>
      </c>
      <c r="C47" s="11" t="s">
        <v>484</v>
      </c>
      <c r="D47" s="12">
        <v>1015042</v>
      </c>
      <c r="E47" s="12">
        <v>2</v>
      </c>
      <c r="F47" s="12"/>
      <c r="G47" s="12">
        <v>200</v>
      </c>
      <c r="H47" s="12">
        <v>3</v>
      </c>
      <c r="I47" s="12" t="s">
        <v>366</v>
      </c>
      <c r="J47" s="12" t="s">
        <v>21</v>
      </c>
      <c r="K47" s="12" t="b">
        <v>0</v>
      </c>
      <c r="L47" s="12">
        <v>2</v>
      </c>
      <c r="M47" s="8">
        <v>2016</v>
      </c>
      <c r="N47" s="9">
        <v>518457</v>
      </c>
      <c r="O47" s="13">
        <v>41815</v>
      </c>
      <c r="P47" s="13">
        <v>41815</v>
      </c>
    </row>
    <row r="48" spans="1:16">
      <c r="A48" s="10">
        <v>2014</v>
      </c>
      <c r="B48" s="11" t="s">
        <v>483</v>
      </c>
      <c r="C48" s="11" t="s">
        <v>484</v>
      </c>
      <c r="D48" s="12">
        <v>1015042</v>
      </c>
      <c r="E48" s="12">
        <v>2</v>
      </c>
      <c r="F48" s="12"/>
      <c r="G48" s="12">
        <v>200</v>
      </c>
      <c r="H48" s="12">
        <v>3</v>
      </c>
      <c r="I48" s="12" t="s">
        <v>366</v>
      </c>
      <c r="J48" s="12" t="s">
        <v>21</v>
      </c>
      <c r="K48" s="12" t="b">
        <v>0</v>
      </c>
      <c r="L48" s="12">
        <v>3</v>
      </c>
      <c r="M48" s="8">
        <v>2017</v>
      </c>
      <c r="N48" s="9">
        <v>450000</v>
      </c>
      <c r="O48" s="13">
        <v>41815</v>
      </c>
      <c r="P48" s="13">
        <v>41815</v>
      </c>
    </row>
    <row r="49" spans="1:16">
      <c r="A49" s="10">
        <v>2014</v>
      </c>
      <c r="B49" s="11" t="s">
        <v>483</v>
      </c>
      <c r="C49" s="11" t="s">
        <v>484</v>
      </c>
      <c r="D49" s="12">
        <v>1015042</v>
      </c>
      <c r="E49" s="12">
        <v>2</v>
      </c>
      <c r="F49" s="12"/>
      <c r="G49" s="12">
        <v>550</v>
      </c>
      <c r="H49" s="12">
        <v>10</v>
      </c>
      <c r="I49" s="12"/>
      <c r="J49" s="12" t="s">
        <v>85</v>
      </c>
      <c r="K49" s="12" t="b">
        <v>0</v>
      </c>
      <c r="L49" s="12">
        <v>2</v>
      </c>
      <c r="M49" s="8">
        <v>2016</v>
      </c>
      <c r="N49" s="9">
        <v>518457</v>
      </c>
      <c r="O49" s="13">
        <v>41815</v>
      </c>
      <c r="P49" s="13">
        <v>41815</v>
      </c>
    </row>
    <row r="50" spans="1:16">
      <c r="A50" s="10">
        <v>2014</v>
      </c>
      <c r="B50" s="11" t="s">
        <v>483</v>
      </c>
      <c r="C50" s="11" t="s">
        <v>484</v>
      </c>
      <c r="D50" s="12">
        <v>1015042</v>
      </c>
      <c r="E50" s="12">
        <v>2</v>
      </c>
      <c r="F50" s="12"/>
      <c r="G50" s="12">
        <v>550</v>
      </c>
      <c r="H50" s="12">
        <v>10</v>
      </c>
      <c r="I50" s="12"/>
      <c r="J50" s="12" t="s">
        <v>85</v>
      </c>
      <c r="K50" s="12" t="b">
        <v>0</v>
      </c>
      <c r="L50" s="12">
        <v>6</v>
      </c>
      <c r="M50" s="8">
        <v>2020</v>
      </c>
      <c r="N50" s="9">
        <v>250000</v>
      </c>
      <c r="O50" s="13">
        <v>41815</v>
      </c>
      <c r="P50" s="13">
        <v>41815</v>
      </c>
    </row>
    <row r="51" spans="1:16">
      <c r="A51" s="10">
        <v>2014</v>
      </c>
      <c r="B51" s="11" t="s">
        <v>483</v>
      </c>
      <c r="C51" s="11" t="s">
        <v>484</v>
      </c>
      <c r="D51" s="12">
        <v>1015042</v>
      </c>
      <c r="E51" s="12">
        <v>2</v>
      </c>
      <c r="F51" s="12"/>
      <c r="G51" s="12">
        <v>550</v>
      </c>
      <c r="H51" s="12">
        <v>10</v>
      </c>
      <c r="I51" s="12"/>
      <c r="J51" s="12" t="s">
        <v>85</v>
      </c>
      <c r="K51" s="12" t="b">
        <v>0</v>
      </c>
      <c r="L51" s="12">
        <v>0</v>
      </c>
      <c r="M51" s="8">
        <v>2014</v>
      </c>
      <c r="N51" s="9">
        <v>0</v>
      </c>
      <c r="O51" s="13">
        <v>41815</v>
      </c>
      <c r="P51" s="13">
        <v>41815</v>
      </c>
    </row>
    <row r="52" spans="1:16">
      <c r="A52" s="10">
        <v>2014</v>
      </c>
      <c r="B52" s="11" t="s">
        <v>483</v>
      </c>
      <c r="C52" s="11" t="s">
        <v>484</v>
      </c>
      <c r="D52" s="12">
        <v>1015042</v>
      </c>
      <c r="E52" s="12">
        <v>2</v>
      </c>
      <c r="F52" s="12"/>
      <c r="G52" s="12">
        <v>550</v>
      </c>
      <c r="H52" s="12">
        <v>10</v>
      </c>
      <c r="I52" s="12"/>
      <c r="J52" s="12" t="s">
        <v>85</v>
      </c>
      <c r="K52" s="12" t="b">
        <v>0</v>
      </c>
      <c r="L52" s="12">
        <v>1</v>
      </c>
      <c r="M52" s="8">
        <v>2015</v>
      </c>
      <c r="N52" s="9">
        <v>537692</v>
      </c>
      <c r="O52" s="13">
        <v>41815</v>
      </c>
      <c r="P52" s="13">
        <v>41815</v>
      </c>
    </row>
    <row r="53" spans="1:16">
      <c r="A53" s="10">
        <v>2014</v>
      </c>
      <c r="B53" s="11" t="s">
        <v>483</v>
      </c>
      <c r="C53" s="11" t="s">
        <v>484</v>
      </c>
      <c r="D53" s="12">
        <v>1015042</v>
      </c>
      <c r="E53" s="12">
        <v>2</v>
      </c>
      <c r="F53" s="12"/>
      <c r="G53" s="12">
        <v>550</v>
      </c>
      <c r="H53" s="12">
        <v>10</v>
      </c>
      <c r="I53" s="12"/>
      <c r="J53" s="12" t="s">
        <v>85</v>
      </c>
      <c r="K53" s="12" t="b">
        <v>0</v>
      </c>
      <c r="L53" s="12">
        <v>3</v>
      </c>
      <c r="M53" s="8">
        <v>2017</v>
      </c>
      <c r="N53" s="9">
        <v>450000</v>
      </c>
      <c r="O53" s="13">
        <v>41815</v>
      </c>
      <c r="P53" s="13">
        <v>41815</v>
      </c>
    </row>
    <row r="54" spans="1:16">
      <c r="A54" s="10">
        <v>2014</v>
      </c>
      <c r="B54" s="11" t="s">
        <v>483</v>
      </c>
      <c r="C54" s="11" t="s">
        <v>484</v>
      </c>
      <c r="D54" s="12">
        <v>1015042</v>
      </c>
      <c r="E54" s="12">
        <v>2</v>
      </c>
      <c r="F54" s="12"/>
      <c r="G54" s="12">
        <v>550</v>
      </c>
      <c r="H54" s="12">
        <v>10</v>
      </c>
      <c r="I54" s="12"/>
      <c r="J54" s="12" t="s">
        <v>85</v>
      </c>
      <c r="K54" s="12" t="b">
        <v>0</v>
      </c>
      <c r="L54" s="12">
        <v>7</v>
      </c>
      <c r="M54" s="8">
        <v>2021</v>
      </c>
      <c r="N54" s="9">
        <v>100000</v>
      </c>
      <c r="O54" s="13">
        <v>41815</v>
      </c>
      <c r="P54" s="13">
        <v>41815</v>
      </c>
    </row>
    <row r="55" spans="1:16">
      <c r="A55" s="10">
        <v>2014</v>
      </c>
      <c r="B55" s="11" t="s">
        <v>483</v>
      </c>
      <c r="C55" s="11" t="s">
        <v>484</v>
      </c>
      <c r="D55" s="12">
        <v>1015042</v>
      </c>
      <c r="E55" s="12">
        <v>2</v>
      </c>
      <c r="F55" s="12"/>
      <c r="G55" s="12">
        <v>550</v>
      </c>
      <c r="H55" s="12">
        <v>10</v>
      </c>
      <c r="I55" s="12"/>
      <c r="J55" s="12" t="s">
        <v>85</v>
      </c>
      <c r="K55" s="12" t="b">
        <v>0</v>
      </c>
      <c r="L55" s="12">
        <v>8</v>
      </c>
      <c r="M55" s="8">
        <v>2022</v>
      </c>
      <c r="N55" s="9">
        <v>38333.15</v>
      </c>
      <c r="O55" s="13">
        <v>41815</v>
      </c>
      <c r="P55" s="13">
        <v>41815</v>
      </c>
    </row>
    <row r="56" spans="1:16">
      <c r="A56" s="10">
        <v>2014</v>
      </c>
      <c r="B56" s="11" t="s">
        <v>483</v>
      </c>
      <c r="C56" s="11" t="s">
        <v>484</v>
      </c>
      <c r="D56" s="12">
        <v>1015042</v>
      </c>
      <c r="E56" s="12">
        <v>2</v>
      </c>
      <c r="F56" s="12"/>
      <c r="G56" s="12">
        <v>550</v>
      </c>
      <c r="H56" s="12">
        <v>10</v>
      </c>
      <c r="I56" s="12"/>
      <c r="J56" s="12" t="s">
        <v>85</v>
      </c>
      <c r="K56" s="12" t="b">
        <v>0</v>
      </c>
      <c r="L56" s="12">
        <v>5</v>
      </c>
      <c r="M56" s="8">
        <v>2019</v>
      </c>
      <c r="N56" s="9">
        <v>300000</v>
      </c>
      <c r="O56" s="13">
        <v>41815</v>
      </c>
      <c r="P56" s="13">
        <v>41815</v>
      </c>
    </row>
    <row r="57" spans="1:16">
      <c r="A57" s="10">
        <v>2014</v>
      </c>
      <c r="B57" s="11" t="s">
        <v>483</v>
      </c>
      <c r="C57" s="11" t="s">
        <v>484</v>
      </c>
      <c r="D57" s="12">
        <v>1015042</v>
      </c>
      <c r="E57" s="12">
        <v>2</v>
      </c>
      <c r="F57" s="12"/>
      <c r="G57" s="12">
        <v>550</v>
      </c>
      <c r="H57" s="12">
        <v>10</v>
      </c>
      <c r="I57" s="12"/>
      <c r="J57" s="12" t="s">
        <v>85</v>
      </c>
      <c r="K57" s="12" t="b">
        <v>0</v>
      </c>
      <c r="L57" s="12">
        <v>4</v>
      </c>
      <c r="M57" s="8">
        <v>2018</v>
      </c>
      <c r="N57" s="9">
        <v>350000</v>
      </c>
      <c r="O57" s="13">
        <v>41815</v>
      </c>
      <c r="P57" s="13">
        <v>41815</v>
      </c>
    </row>
    <row r="58" spans="1:16">
      <c r="A58" s="10">
        <v>2014</v>
      </c>
      <c r="B58" s="11" t="s">
        <v>483</v>
      </c>
      <c r="C58" s="11" t="s">
        <v>484</v>
      </c>
      <c r="D58" s="12">
        <v>1015042</v>
      </c>
      <c r="E58" s="12">
        <v>2</v>
      </c>
      <c r="F58" s="12"/>
      <c r="G58" s="12">
        <v>730</v>
      </c>
      <c r="H58" s="12">
        <v>12.3</v>
      </c>
      <c r="I58" s="12"/>
      <c r="J58" s="12" t="s">
        <v>108</v>
      </c>
      <c r="K58" s="12" t="b">
        <v>0</v>
      </c>
      <c r="L58" s="12">
        <v>8</v>
      </c>
      <c r="M58" s="8">
        <v>2022</v>
      </c>
      <c r="N58" s="9">
        <v>0</v>
      </c>
      <c r="O58" s="13">
        <v>41815</v>
      </c>
      <c r="P58" s="13">
        <v>41815</v>
      </c>
    </row>
    <row r="59" spans="1:16">
      <c r="A59" s="10">
        <v>2014</v>
      </c>
      <c r="B59" s="11" t="s">
        <v>483</v>
      </c>
      <c r="C59" s="11" t="s">
        <v>484</v>
      </c>
      <c r="D59" s="12">
        <v>1015042</v>
      </c>
      <c r="E59" s="12">
        <v>2</v>
      </c>
      <c r="F59" s="12"/>
      <c r="G59" s="12">
        <v>730</v>
      </c>
      <c r="H59" s="12">
        <v>12.3</v>
      </c>
      <c r="I59" s="12"/>
      <c r="J59" s="12" t="s">
        <v>108</v>
      </c>
      <c r="K59" s="12" t="b">
        <v>0</v>
      </c>
      <c r="L59" s="12">
        <v>2</v>
      </c>
      <c r="M59" s="8">
        <v>2016</v>
      </c>
      <c r="N59" s="9">
        <v>0</v>
      </c>
      <c r="O59" s="13">
        <v>41815</v>
      </c>
      <c r="P59" s="13">
        <v>41815</v>
      </c>
    </row>
    <row r="60" spans="1:16">
      <c r="A60" s="10">
        <v>2014</v>
      </c>
      <c r="B60" s="11" t="s">
        <v>483</v>
      </c>
      <c r="C60" s="11" t="s">
        <v>484</v>
      </c>
      <c r="D60" s="12">
        <v>1015042</v>
      </c>
      <c r="E60" s="12">
        <v>2</v>
      </c>
      <c r="F60" s="12"/>
      <c r="G60" s="12">
        <v>730</v>
      </c>
      <c r="H60" s="12">
        <v>12.3</v>
      </c>
      <c r="I60" s="12"/>
      <c r="J60" s="12" t="s">
        <v>108</v>
      </c>
      <c r="K60" s="12" t="b">
        <v>0</v>
      </c>
      <c r="L60" s="12">
        <v>1</v>
      </c>
      <c r="M60" s="8">
        <v>2015</v>
      </c>
      <c r="N60" s="9">
        <v>70939.199999999997</v>
      </c>
      <c r="O60" s="13">
        <v>41815</v>
      </c>
      <c r="P60" s="13">
        <v>41815</v>
      </c>
    </row>
    <row r="61" spans="1:16">
      <c r="A61" s="10">
        <v>2014</v>
      </c>
      <c r="B61" s="11" t="s">
        <v>483</v>
      </c>
      <c r="C61" s="11" t="s">
        <v>484</v>
      </c>
      <c r="D61" s="12">
        <v>1015042</v>
      </c>
      <c r="E61" s="12">
        <v>2</v>
      </c>
      <c r="F61" s="12"/>
      <c r="G61" s="12">
        <v>730</v>
      </c>
      <c r="H61" s="12">
        <v>12.3</v>
      </c>
      <c r="I61" s="12"/>
      <c r="J61" s="12" t="s">
        <v>108</v>
      </c>
      <c r="K61" s="12" t="b">
        <v>0</v>
      </c>
      <c r="L61" s="12">
        <v>0</v>
      </c>
      <c r="M61" s="8">
        <v>2014</v>
      </c>
      <c r="N61" s="9">
        <v>166855.70000000001</v>
      </c>
      <c r="O61" s="13">
        <v>41815</v>
      </c>
      <c r="P61" s="13">
        <v>41815</v>
      </c>
    </row>
    <row r="62" spans="1:16">
      <c r="A62" s="10">
        <v>2014</v>
      </c>
      <c r="B62" s="11" t="s">
        <v>483</v>
      </c>
      <c r="C62" s="11" t="s">
        <v>484</v>
      </c>
      <c r="D62" s="12">
        <v>1015042</v>
      </c>
      <c r="E62" s="12">
        <v>2</v>
      </c>
      <c r="F62" s="12"/>
      <c r="G62" s="12">
        <v>730</v>
      </c>
      <c r="H62" s="12">
        <v>12.3</v>
      </c>
      <c r="I62" s="12"/>
      <c r="J62" s="12" t="s">
        <v>108</v>
      </c>
      <c r="K62" s="12" t="b">
        <v>0</v>
      </c>
      <c r="L62" s="12">
        <v>5</v>
      </c>
      <c r="M62" s="8">
        <v>2019</v>
      </c>
      <c r="N62" s="9">
        <v>0</v>
      </c>
      <c r="O62" s="13">
        <v>41815</v>
      </c>
      <c r="P62" s="13">
        <v>41815</v>
      </c>
    </row>
    <row r="63" spans="1:16">
      <c r="A63" s="10">
        <v>2014</v>
      </c>
      <c r="B63" s="11" t="s">
        <v>483</v>
      </c>
      <c r="C63" s="11" t="s">
        <v>484</v>
      </c>
      <c r="D63" s="12">
        <v>1015042</v>
      </c>
      <c r="E63" s="12">
        <v>2</v>
      </c>
      <c r="F63" s="12"/>
      <c r="G63" s="12">
        <v>730</v>
      </c>
      <c r="H63" s="12">
        <v>12.3</v>
      </c>
      <c r="I63" s="12"/>
      <c r="J63" s="12" t="s">
        <v>108</v>
      </c>
      <c r="K63" s="12" t="b">
        <v>0</v>
      </c>
      <c r="L63" s="12">
        <v>3</v>
      </c>
      <c r="M63" s="8">
        <v>2017</v>
      </c>
      <c r="N63" s="9">
        <v>0</v>
      </c>
      <c r="O63" s="13">
        <v>41815</v>
      </c>
      <c r="P63" s="13">
        <v>41815</v>
      </c>
    </row>
    <row r="64" spans="1:16">
      <c r="A64" s="10">
        <v>2014</v>
      </c>
      <c r="B64" s="11" t="s">
        <v>483</v>
      </c>
      <c r="C64" s="11" t="s">
        <v>484</v>
      </c>
      <c r="D64" s="12">
        <v>1015042</v>
      </c>
      <c r="E64" s="12">
        <v>2</v>
      </c>
      <c r="F64" s="12"/>
      <c r="G64" s="12">
        <v>730</v>
      </c>
      <c r="H64" s="12">
        <v>12.3</v>
      </c>
      <c r="I64" s="12"/>
      <c r="J64" s="12" t="s">
        <v>108</v>
      </c>
      <c r="K64" s="12" t="b">
        <v>0</v>
      </c>
      <c r="L64" s="12">
        <v>6</v>
      </c>
      <c r="M64" s="8">
        <v>2020</v>
      </c>
      <c r="N64" s="9">
        <v>0</v>
      </c>
      <c r="O64" s="13">
        <v>41815</v>
      </c>
      <c r="P64" s="13">
        <v>41815</v>
      </c>
    </row>
    <row r="65" spans="1:16">
      <c r="A65" s="10">
        <v>2014</v>
      </c>
      <c r="B65" s="11" t="s">
        <v>483</v>
      </c>
      <c r="C65" s="11" t="s">
        <v>484</v>
      </c>
      <c r="D65" s="12">
        <v>1015042</v>
      </c>
      <c r="E65" s="12">
        <v>2</v>
      </c>
      <c r="F65" s="12"/>
      <c r="G65" s="12">
        <v>730</v>
      </c>
      <c r="H65" s="12">
        <v>12.3</v>
      </c>
      <c r="I65" s="12"/>
      <c r="J65" s="12" t="s">
        <v>108</v>
      </c>
      <c r="K65" s="12" t="b">
        <v>0</v>
      </c>
      <c r="L65" s="12">
        <v>7</v>
      </c>
      <c r="M65" s="8">
        <v>2021</v>
      </c>
      <c r="N65" s="9">
        <v>0</v>
      </c>
      <c r="O65" s="13">
        <v>41815</v>
      </c>
      <c r="P65" s="13">
        <v>41815</v>
      </c>
    </row>
    <row r="66" spans="1:16">
      <c r="A66" s="10">
        <v>2014</v>
      </c>
      <c r="B66" s="11" t="s">
        <v>483</v>
      </c>
      <c r="C66" s="11" t="s">
        <v>484</v>
      </c>
      <c r="D66" s="12">
        <v>1015042</v>
      </c>
      <c r="E66" s="12">
        <v>2</v>
      </c>
      <c r="F66" s="12"/>
      <c r="G66" s="12">
        <v>730</v>
      </c>
      <c r="H66" s="12">
        <v>12.3</v>
      </c>
      <c r="I66" s="12"/>
      <c r="J66" s="12" t="s">
        <v>108</v>
      </c>
      <c r="K66" s="12" t="b">
        <v>0</v>
      </c>
      <c r="L66" s="12">
        <v>4</v>
      </c>
      <c r="M66" s="8">
        <v>2018</v>
      </c>
      <c r="N66" s="9">
        <v>0</v>
      </c>
      <c r="O66" s="13">
        <v>41815</v>
      </c>
      <c r="P66" s="13">
        <v>41815</v>
      </c>
    </row>
    <row r="67" spans="1:16">
      <c r="A67" s="10">
        <v>2014</v>
      </c>
      <c r="B67" s="11" t="s">
        <v>483</v>
      </c>
      <c r="C67" s="11" t="s">
        <v>484</v>
      </c>
      <c r="D67" s="12">
        <v>1015042</v>
      </c>
      <c r="E67" s="12">
        <v>2</v>
      </c>
      <c r="F67" s="12"/>
      <c r="G67" s="12">
        <v>20</v>
      </c>
      <c r="H67" s="12">
        <v>1.1000000000000001</v>
      </c>
      <c r="I67" s="12"/>
      <c r="J67" s="12" t="s">
        <v>40</v>
      </c>
      <c r="K67" s="12" t="b">
        <v>1</v>
      </c>
      <c r="L67" s="12">
        <v>4</v>
      </c>
      <c r="M67" s="8">
        <v>2018</v>
      </c>
      <c r="N67" s="9">
        <v>8194608</v>
      </c>
      <c r="O67" s="13">
        <v>41815</v>
      </c>
      <c r="P67" s="13">
        <v>41815</v>
      </c>
    </row>
    <row r="68" spans="1:16">
      <c r="A68" s="10">
        <v>2014</v>
      </c>
      <c r="B68" s="11" t="s">
        <v>483</v>
      </c>
      <c r="C68" s="11" t="s">
        <v>484</v>
      </c>
      <c r="D68" s="12">
        <v>1015042</v>
      </c>
      <c r="E68" s="12">
        <v>2</v>
      </c>
      <c r="F68" s="12"/>
      <c r="G68" s="12">
        <v>20</v>
      </c>
      <c r="H68" s="12">
        <v>1.1000000000000001</v>
      </c>
      <c r="I68" s="12"/>
      <c r="J68" s="12" t="s">
        <v>40</v>
      </c>
      <c r="K68" s="12" t="b">
        <v>1</v>
      </c>
      <c r="L68" s="12">
        <v>5</v>
      </c>
      <c r="M68" s="8">
        <v>2019</v>
      </c>
      <c r="N68" s="9">
        <v>8343446</v>
      </c>
      <c r="O68" s="13">
        <v>41815</v>
      </c>
      <c r="P68" s="13">
        <v>41815</v>
      </c>
    </row>
    <row r="69" spans="1:16">
      <c r="A69" s="10">
        <v>2014</v>
      </c>
      <c r="B69" s="11" t="s">
        <v>483</v>
      </c>
      <c r="C69" s="11" t="s">
        <v>484</v>
      </c>
      <c r="D69" s="12">
        <v>1015042</v>
      </c>
      <c r="E69" s="12">
        <v>2</v>
      </c>
      <c r="F69" s="12"/>
      <c r="G69" s="12">
        <v>20</v>
      </c>
      <c r="H69" s="12">
        <v>1.1000000000000001</v>
      </c>
      <c r="I69" s="12"/>
      <c r="J69" s="12" t="s">
        <v>40</v>
      </c>
      <c r="K69" s="12" t="b">
        <v>1</v>
      </c>
      <c r="L69" s="12">
        <v>3</v>
      </c>
      <c r="M69" s="8">
        <v>2017</v>
      </c>
      <c r="N69" s="9">
        <v>8053018</v>
      </c>
      <c r="O69" s="13">
        <v>41815</v>
      </c>
      <c r="P69" s="13">
        <v>41815</v>
      </c>
    </row>
    <row r="70" spans="1:16">
      <c r="A70" s="10">
        <v>2014</v>
      </c>
      <c r="B70" s="11" t="s">
        <v>483</v>
      </c>
      <c r="C70" s="11" t="s">
        <v>484</v>
      </c>
      <c r="D70" s="12">
        <v>1015042</v>
      </c>
      <c r="E70" s="12">
        <v>2</v>
      </c>
      <c r="F70" s="12"/>
      <c r="G70" s="12">
        <v>20</v>
      </c>
      <c r="H70" s="12">
        <v>1.1000000000000001</v>
      </c>
      <c r="I70" s="12"/>
      <c r="J70" s="12" t="s">
        <v>40</v>
      </c>
      <c r="K70" s="12" t="b">
        <v>1</v>
      </c>
      <c r="L70" s="12">
        <v>1</v>
      </c>
      <c r="M70" s="8">
        <v>2015</v>
      </c>
      <c r="N70" s="9">
        <v>7895743</v>
      </c>
      <c r="O70" s="13">
        <v>41815</v>
      </c>
      <c r="P70" s="13">
        <v>41815</v>
      </c>
    </row>
    <row r="71" spans="1:16">
      <c r="A71" s="10">
        <v>2014</v>
      </c>
      <c r="B71" s="11" t="s">
        <v>483</v>
      </c>
      <c r="C71" s="11" t="s">
        <v>484</v>
      </c>
      <c r="D71" s="12">
        <v>1015042</v>
      </c>
      <c r="E71" s="12">
        <v>2</v>
      </c>
      <c r="F71" s="12"/>
      <c r="G71" s="12">
        <v>20</v>
      </c>
      <c r="H71" s="12">
        <v>1.1000000000000001</v>
      </c>
      <c r="I71" s="12"/>
      <c r="J71" s="12" t="s">
        <v>40</v>
      </c>
      <c r="K71" s="12" t="b">
        <v>1</v>
      </c>
      <c r="L71" s="12">
        <v>6</v>
      </c>
      <c r="M71" s="8">
        <v>2020</v>
      </c>
      <c r="N71" s="9">
        <v>8499749</v>
      </c>
      <c r="O71" s="13">
        <v>41815</v>
      </c>
      <c r="P71" s="13">
        <v>41815</v>
      </c>
    </row>
    <row r="72" spans="1:16">
      <c r="A72" s="10">
        <v>2014</v>
      </c>
      <c r="B72" s="11" t="s">
        <v>483</v>
      </c>
      <c r="C72" s="11" t="s">
        <v>484</v>
      </c>
      <c r="D72" s="12">
        <v>1015042</v>
      </c>
      <c r="E72" s="12">
        <v>2</v>
      </c>
      <c r="F72" s="12"/>
      <c r="G72" s="12">
        <v>20</v>
      </c>
      <c r="H72" s="12">
        <v>1.1000000000000001</v>
      </c>
      <c r="I72" s="12"/>
      <c r="J72" s="12" t="s">
        <v>40</v>
      </c>
      <c r="K72" s="12" t="b">
        <v>1</v>
      </c>
      <c r="L72" s="12">
        <v>2</v>
      </c>
      <c r="M72" s="8">
        <v>2016</v>
      </c>
      <c r="N72" s="9">
        <v>7988465</v>
      </c>
      <c r="O72" s="13">
        <v>41815</v>
      </c>
      <c r="P72" s="13">
        <v>41815</v>
      </c>
    </row>
    <row r="73" spans="1:16">
      <c r="A73" s="10">
        <v>2014</v>
      </c>
      <c r="B73" s="11" t="s">
        <v>483</v>
      </c>
      <c r="C73" s="11" t="s">
        <v>484</v>
      </c>
      <c r="D73" s="12">
        <v>1015042</v>
      </c>
      <c r="E73" s="12">
        <v>2</v>
      </c>
      <c r="F73" s="12"/>
      <c r="G73" s="12">
        <v>20</v>
      </c>
      <c r="H73" s="12">
        <v>1.1000000000000001</v>
      </c>
      <c r="I73" s="12"/>
      <c r="J73" s="12" t="s">
        <v>40</v>
      </c>
      <c r="K73" s="12" t="b">
        <v>1</v>
      </c>
      <c r="L73" s="12">
        <v>8</v>
      </c>
      <c r="M73" s="8">
        <v>2022</v>
      </c>
      <c r="N73" s="9">
        <v>8835653</v>
      </c>
      <c r="O73" s="13">
        <v>41815</v>
      </c>
      <c r="P73" s="13">
        <v>41815</v>
      </c>
    </row>
    <row r="74" spans="1:16">
      <c r="A74" s="10">
        <v>2014</v>
      </c>
      <c r="B74" s="11" t="s">
        <v>483</v>
      </c>
      <c r="C74" s="11" t="s">
        <v>484</v>
      </c>
      <c r="D74" s="12">
        <v>1015042</v>
      </c>
      <c r="E74" s="12">
        <v>2</v>
      </c>
      <c r="F74" s="12"/>
      <c r="G74" s="12">
        <v>20</v>
      </c>
      <c r="H74" s="12">
        <v>1.1000000000000001</v>
      </c>
      <c r="I74" s="12"/>
      <c r="J74" s="12" t="s">
        <v>40</v>
      </c>
      <c r="K74" s="12" t="b">
        <v>1</v>
      </c>
      <c r="L74" s="12">
        <v>0</v>
      </c>
      <c r="M74" s="8">
        <v>2014</v>
      </c>
      <c r="N74" s="9">
        <v>7815009.8399999999</v>
      </c>
      <c r="O74" s="13">
        <v>41815</v>
      </c>
      <c r="P74" s="13">
        <v>41815</v>
      </c>
    </row>
    <row r="75" spans="1:16">
      <c r="A75" s="10">
        <v>2014</v>
      </c>
      <c r="B75" s="11" t="s">
        <v>483</v>
      </c>
      <c r="C75" s="11" t="s">
        <v>484</v>
      </c>
      <c r="D75" s="12">
        <v>1015042</v>
      </c>
      <c r="E75" s="12">
        <v>2</v>
      </c>
      <c r="F75" s="12"/>
      <c r="G75" s="12">
        <v>20</v>
      </c>
      <c r="H75" s="12">
        <v>1.1000000000000001</v>
      </c>
      <c r="I75" s="12"/>
      <c r="J75" s="12" t="s">
        <v>40</v>
      </c>
      <c r="K75" s="12" t="b">
        <v>1</v>
      </c>
      <c r="L75" s="12">
        <v>7</v>
      </c>
      <c r="M75" s="8">
        <v>2021</v>
      </c>
      <c r="N75" s="9">
        <v>8663741</v>
      </c>
      <c r="O75" s="13">
        <v>41815</v>
      </c>
      <c r="P75" s="13">
        <v>41815</v>
      </c>
    </row>
    <row r="76" spans="1:16">
      <c r="A76" s="10">
        <v>2014</v>
      </c>
      <c r="B76" s="11" t="s">
        <v>483</v>
      </c>
      <c r="C76" s="11" t="s">
        <v>484</v>
      </c>
      <c r="D76" s="12">
        <v>1015042</v>
      </c>
      <c r="E76" s="12">
        <v>2</v>
      </c>
      <c r="F76" s="12"/>
      <c r="G76" s="12">
        <v>30</v>
      </c>
      <c r="H76" s="12" t="s">
        <v>41</v>
      </c>
      <c r="I76" s="12"/>
      <c r="J76" s="12" t="s">
        <v>42</v>
      </c>
      <c r="K76" s="12" t="b">
        <v>1</v>
      </c>
      <c r="L76" s="12">
        <v>2</v>
      </c>
      <c r="M76" s="8">
        <v>2016</v>
      </c>
      <c r="N76" s="9">
        <v>1045300</v>
      </c>
      <c r="O76" s="13">
        <v>41815</v>
      </c>
      <c r="P76" s="13">
        <v>41815</v>
      </c>
    </row>
    <row r="77" spans="1:16">
      <c r="A77" s="10">
        <v>2014</v>
      </c>
      <c r="B77" s="11" t="s">
        <v>483</v>
      </c>
      <c r="C77" s="11" t="s">
        <v>484</v>
      </c>
      <c r="D77" s="12">
        <v>1015042</v>
      </c>
      <c r="E77" s="12">
        <v>2</v>
      </c>
      <c r="F77" s="12"/>
      <c r="G77" s="12">
        <v>30</v>
      </c>
      <c r="H77" s="12" t="s">
        <v>41</v>
      </c>
      <c r="I77" s="12"/>
      <c r="J77" s="12" t="s">
        <v>42</v>
      </c>
      <c r="K77" s="12" t="b">
        <v>1</v>
      </c>
      <c r="L77" s="12">
        <v>8</v>
      </c>
      <c r="M77" s="8">
        <v>2022</v>
      </c>
      <c r="N77" s="9">
        <v>0</v>
      </c>
      <c r="O77" s="13">
        <v>41815</v>
      </c>
      <c r="P77" s="13">
        <v>41815</v>
      </c>
    </row>
    <row r="78" spans="1:16">
      <c r="A78" s="10">
        <v>2014</v>
      </c>
      <c r="B78" s="11" t="s">
        <v>483</v>
      </c>
      <c r="C78" s="11" t="s">
        <v>484</v>
      </c>
      <c r="D78" s="12">
        <v>1015042</v>
      </c>
      <c r="E78" s="12">
        <v>2</v>
      </c>
      <c r="F78" s="12"/>
      <c r="G78" s="12">
        <v>30</v>
      </c>
      <c r="H78" s="12" t="s">
        <v>41</v>
      </c>
      <c r="I78" s="12"/>
      <c r="J78" s="12" t="s">
        <v>42</v>
      </c>
      <c r="K78" s="12" t="b">
        <v>1</v>
      </c>
      <c r="L78" s="12">
        <v>6</v>
      </c>
      <c r="M78" s="8">
        <v>2020</v>
      </c>
      <c r="N78" s="9">
        <v>0</v>
      </c>
      <c r="O78" s="13">
        <v>41815</v>
      </c>
      <c r="P78" s="13">
        <v>41815</v>
      </c>
    </row>
    <row r="79" spans="1:16">
      <c r="A79" s="10">
        <v>2014</v>
      </c>
      <c r="B79" s="11" t="s">
        <v>483</v>
      </c>
      <c r="C79" s="11" t="s">
        <v>484</v>
      </c>
      <c r="D79" s="12">
        <v>1015042</v>
      </c>
      <c r="E79" s="12">
        <v>2</v>
      </c>
      <c r="F79" s="12"/>
      <c r="G79" s="12">
        <v>30</v>
      </c>
      <c r="H79" s="12" t="s">
        <v>41</v>
      </c>
      <c r="I79" s="12"/>
      <c r="J79" s="12" t="s">
        <v>42</v>
      </c>
      <c r="K79" s="12" t="b">
        <v>1</v>
      </c>
      <c r="L79" s="12">
        <v>3</v>
      </c>
      <c r="M79" s="8">
        <v>2017</v>
      </c>
      <c r="N79" s="9">
        <v>1097565</v>
      </c>
      <c r="O79" s="13">
        <v>41815</v>
      </c>
      <c r="P79" s="13">
        <v>41815</v>
      </c>
    </row>
    <row r="80" spans="1:16">
      <c r="A80" s="10">
        <v>2014</v>
      </c>
      <c r="B80" s="11" t="s">
        <v>483</v>
      </c>
      <c r="C80" s="11" t="s">
        <v>484</v>
      </c>
      <c r="D80" s="12">
        <v>1015042</v>
      </c>
      <c r="E80" s="12">
        <v>2</v>
      </c>
      <c r="F80" s="12"/>
      <c r="G80" s="12">
        <v>30</v>
      </c>
      <c r="H80" s="12" t="s">
        <v>41</v>
      </c>
      <c r="I80" s="12"/>
      <c r="J80" s="12" t="s">
        <v>42</v>
      </c>
      <c r="K80" s="12" t="b">
        <v>1</v>
      </c>
      <c r="L80" s="12">
        <v>0</v>
      </c>
      <c r="M80" s="8">
        <v>2014</v>
      </c>
      <c r="N80" s="9">
        <v>948118</v>
      </c>
      <c r="O80" s="13">
        <v>41815</v>
      </c>
      <c r="P80" s="13">
        <v>41815</v>
      </c>
    </row>
    <row r="81" spans="1:16">
      <c r="A81" s="10">
        <v>2014</v>
      </c>
      <c r="B81" s="11" t="s">
        <v>483</v>
      </c>
      <c r="C81" s="11" t="s">
        <v>484</v>
      </c>
      <c r="D81" s="12">
        <v>1015042</v>
      </c>
      <c r="E81" s="12">
        <v>2</v>
      </c>
      <c r="F81" s="12"/>
      <c r="G81" s="12">
        <v>30</v>
      </c>
      <c r="H81" s="12" t="s">
        <v>41</v>
      </c>
      <c r="I81" s="12"/>
      <c r="J81" s="12" t="s">
        <v>42</v>
      </c>
      <c r="K81" s="12" t="b">
        <v>1</v>
      </c>
      <c r="L81" s="12">
        <v>7</v>
      </c>
      <c r="M81" s="8">
        <v>2021</v>
      </c>
      <c r="N81" s="9">
        <v>0</v>
      </c>
      <c r="O81" s="13">
        <v>41815</v>
      </c>
      <c r="P81" s="13">
        <v>41815</v>
      </c>
    </row>
    <row r="82" spans="1:16">
      <c r="A82" s="10">
        <v>2014</v>
      </c>
      <c r="B82" s="11" t="s">
        <v>483</v>
      </c>
      <c r="C82" s="11" t="s">
        <v>484</v>
      </c>
      <c r="D82" s="12">
        <v>1015042</v>
      </c>
      <c r="E82" s="12">
        <v>2</v>
      </c>
      <c r="F82" s="12"/>
      <c r="G82" s="12">
        <v>30</v>
      </c>
      <c r="H82" s="12" t="s">
        <v>41</v>
      </c>
      <c r="I82" s="12"/>
      <c r="J82" s="12" t="s">
        <v>42</v>
      </c>
      <c r="K82" s="12" t="b">
        <v>1</v>
      </c>
      <c r="L82" s="12">
        <v>5</v>
      </c>
      <c r="M82" s="8">
        <v>2019</v>
      </c>
      <c r="N82" s="9">
        <v>0</v>
      </c>
      <c r="O82" s="13">
        <v>41815</v>
      </c>
      <c r="P82" s="13">
        <v>41815</v>
      </c>
    </row>
    <row r="83" spans="1:16">
      <c r="A83" s="10">
        <v>2014</v>
      </c>
      <c r="B83" s="11" t="s">
        <v>483</v>
      </c>
      <c r="C83" s="11" t="s">
        <v>484</v>
      </c>
      <c r="D83" s="12">
        <v>1015042</v>
      </c>
      <c r="E83" s="12">
        <v>2</v>
      </c>
      <c r="F83" s="12"/>
      <c r="G83" s="12">
        <v>30</v>
      </c>
      <c r="H83" s="12" t="s">
        <v>41</v>
      </c>
      <c r="I83" s="12"/>
      <c r="J83" s="12" t="s">
        <v>42</v>
      </c>
      <c r="K83" s="12" t="b">
        <v>1</v>
      </c>
      <c r="L83" s="12">
        <v>4</v>
      </c>
      <c r="M83" s="8">
        <v>2018</v>
      </c>
      <c r="N83" s="9">
        <v>0</v>
      </c>
      <c r="O83" s="13">
        <v>41815</v>
      </c>
      <c r="P83" s="13">
        <v>41815</v>
      </c>
    </row>
    <row r="84" spans="1:16">
      <c r="A84" s="10">
        <v>2014</v>
      </c>
      <c r="B84" s="11" t="s">
        <v>483</v>
      </c>
      <c r="C84" s="11" t="s">
        <v>484</v>
      </c>
      <c r="D84" s="12">
        <v>1015042</v>
      </c>
      <c r="E84" s="12">
        <v>2</v>
      </c>
      <c r="F84" s="12"/>
      <c r="G84" s="12">
        <v>30</v>
      </c>
      <c r="H84" s="12" t="s">
        <v>41</v>
      </c>
      <c r="I84" s="12"/>
      <c r="J84" s="12" t="s">
        <v>42</v>
      </c>
      <c r="K84" s="12" t="b">
        <v>1</v>
      </c>
      <c r="L84" s="12">
        <v>1</v>
      </c>
      <c r="M84" s="8">
        <v>2015</v>
      </c>
      <c r="N84" s="9">
        <v>995523</v>
      </c>
      <c r="O84" s="13">
        <v>41815</v>
      </c>
      <c r="P84" s="13">
        <v>41815</v>
      </c>
    </row>
    <row r="85" spans="1:16">
      <c r="A85" s="10">
        <v>2014</v>
      </c>
      <c r="B85" s="11" t="s">
        <v>483</v>
      </c>
      <c r="C85" s="11" t="s">
        <v>484</v>
      </c>
      <c r="D85" s="12">
        <v>1015042</v>
      </c>
      <c r="E85" s="12">
        <v>2</v>
      </c>
      <c r="F85" s="12"/>
      <c r="G85" s="12">
        <v>840</v>
      </c>
      <c r="H85" s="12">
        <v>13.5</v>
      </c>
      <c r="I85" s="12"/>
      <c r="J85" s="12" t="s">
        <v>123</v>
      </c>
      <c r="K85" s="12" t="b">
        <v>1</v>
      </c>
      <c r="L85" s="12">
        <v>4</v>
      </c>
      <c r="M85" s="8">
        <v>2018</v>
      </c>
      <c r="N85" s="9">
        <v>0</v>
      </c>
      <c r="O85" s="13">
        <v>41815</v>
      </c>
      <c r="P85" s="13">
        <v>41815</v>
      </c>
    </row>
    <row r="86" spans="1:16">
      <c r="A86" s="10">
        <v>2014</v>
      </c>
      <c r="B86" s="11" t="s">
        <v>483</v>
      </c>
      <c r="C86" s="11" t="s">
        <v>484</v>
      </c>
      <c r="D86" s="12">
        <v>1015042</v>
      </c>
      <c r="E86" s="12">
        <v>2</v>
      </c>
      <c r="F86" s="12"/>
      <c r="G86" s="12">
        <v>840</v>
      </c>
      <c r="H86" s="12">
        <v>13.5</v>
      </c>
      <c r="I86" s="12"/>
      <c r="J86" s="12" t="s">
        <v>123</v>
      </c>
      <c r="K86" s="12" t="b">
        <v>1</v>
      </c>
      <c r="L86" s="12">
        <v>0</v>
      </c>
      <c r="M86" s="8">
        <v>2014</v>
      </c>
      <c r="N86" s="9">
        <v>0</v>
      </c>
      <c r="O86" s="13">
        <v>41815</v>
      </c>
      <c r="P86" s="13">
        <v>41815</v>
      </c>
    </row>
    <row r="87" spans="1:16">
      <c r="A87" s="10">
        <v>2014</v>
      </c>
      <c r="B87" s="11" t="s">
        <v>483</v>
      </c>
      <c r="C87" s="11" t="s">
        <v>484</v>
      </c>
      <c r="D87" s="12">
        <v>1015042</v>
      </c>
      <c r="E87" s="12">
        <v>2</v>
      </c>
      <c r="F87" s="12"/>
      <c r="G87" s="12">
        <v>840</v>
      </c>
      <c r="H87" s="12">
        <v>13.5</v>
      </c>
      <c r="I87" s="12"/>
      <c r="J87" s="12" t="s">
        <v>123</v>
      </c>
      <c r="K87" s="12" t="b">
        <v>1</v>
      </c>
      <c r="L87" s="12">
        <v>3</v>
      </c>
      <c r="M87" s="8">
        <v>2017</v>
      </c>
      <c r="N87" s="9">
        <v>0</v>
      </c>
      <c r="O87" s="13">
        <v>41815</v>
      </c>
      <c r="P87" s="13">
        <v>41815</v>
      </c>
    </row>
    <row r="88" spans="1:16">
      <c r="A88" s="10">
        <v>2014</v>
      </c>
      <c r="B88" s="11" t="s">
        <v>483</v>
      </c>
      <c r="C88" s="11" t="s">
        <v>484</v>
      </c>
      <c r="D88" s="12">
        <v>1015042</v>
      </c>
      <c r="E88" s="12">
        <v>2</v>
      </c>
      <c r="F88" s="12"/>
      <c r="G88" s="12">
        <v>840</v>
      </c>
      <c r="H88" s="12">
        <v>13.5</v>
      </c>
      <c r="I88" s="12"/>
      <c r="J88" s="12" t="s">
        <v>123</v>
      </c>
      <c r="K88" s="12" t="b">
        <v>1</v>
      </c>
      <c r="L88" s="12">
        <v>8</v>
      </c>
      <c r="M88" s="8">
        <v>2022</v>
      </c>
      <c r="N88" s="9">
        <v>0</v>
      </c>
      <c r="O88" s="13">
        <v>41815</v>
      </c>
      <c r="P88" s="13">
        <v>41815</v>
      </c>
    </row>
    <row r="89" spans="1:16">
      <c r="A89" s="10">
        <v>2014</v>
      </c>
      <c r="B89" s="11" t="s">
        <v>483</v>
      </c>
      <c r="C89" s="11" t="s">
        <v>484</v>
      </c>
      <c r="D89" s="12">
        <v>1015042</v>
      </c>
      <c r="E89" s="12">
        <v>2</v>
      </c>
      <c r="F89" s="12"/>
      <c r="G89" s="12">
        <v>840</v>
      </c>
      <c r="H89" s="12">
        <v>13.5</v>
      </c>
      <c r="I89" s="12"/>
      <c r="J89" s="12" t="s">
        <v>123</v>
      </c>
      <c r="K89" s="12" t="b">
        <v>1</v>
      </c>
      <c r="L89" s="12">
        <v>5</v>
      </c>
      <c r="M89" s="8">
        <v>2019</v>
      </c>
      <c r="N89" s="9">
        <v>0</v>
      </c>
      <c r="O89" s="13">
        <v>41815</v>
      </c>
      <c r="P89" s="13">
        <v>41815</v>
      </c>
    </row>
    <row r="90" spans="1:16">
      <c r="A90" s="10">
        <v>2014</v>
      </c>
      <c r="B90" s="11" t="s">
        <v>483</v>
      </c>
      <c r="C90" s="11" t="s">
        <v>484</v>
      </c>
      <c r="D90" s="12">
        <v>1015042</v>
      </c>
      <c r="E90" s="12">
        <v>2</v>
      </c>
      <c r="F90" s="12"/>
      <c r="G90" s="12">
        <v>840</v>
      </c>
      <c r="H90" s="12">
        <v>13.5</v>
      </c>
      <c r="I90" s="12"/>
      <c r="J90" s="12" t="s">
        <v>123</v>
      </c>
      <c r="K90" s="12" t="b">
        <v>1</v>
      </c>
      <c r="L90" s="12">
        <v>7</v>
      </c>
      <c r="M90" s="8">
        <v>2021</v>
      </c>
      <c r="N90" s="9">
        <v>0</v>
      </c>
      <c r="O90" s="13">
        <v>41815</v>
      </c>
      <c r="P90" s="13">
        <v>41815</v>
      </c>
    </row>
    <row r="91" spans="1:16">
      <c r="A91" s="10">
        <v>2014</v>
      </c>
      <c r="B91" s="11" t="s">
        <v>483</v>
      </c>
      <c r="C91" s="11" t="s">
        <v>484</v>
      </c>
      <c r="D91" s="12">
        <v>1015042</v>
      </c>
      <c r="E91" s="12">
        <v>2</v>
      </c>
      <c r="F91" s="12"/>
      <c r="G91" s="12">
        <v>840</v>
      </c>
      <c r="H91" s="12">
        <v>13.5</v>
      </c>
      <c r="I91" s="12"/>
      <c r="J91" s="12" t="s">
        <v>123</v>
      </c>
      <c r="K91" s="12" t="b">
        <v>1</v>
      </c>
      <c r="L91" s="12">
        <v>6</v>
      </c>
      <c r="M91" s="8">
        <v>2020</v>
      </c>
      <c r="N91" s="9">
        <v>0</v>
      </c>
      <c r="O91" s="13">
        <v>41815</v>
      </c>
      <c r="P91" s="13">
        <v>41815</v>
      </c>
    </row>
    <row r="92" spans="1:16">
      <c r="A92" s="10">
        <v>2014</v>
      </c>
      <c r="B92" s="11" t="s">
        <v>483</v>
      </c>
      <c r="C92" s="11" t="s">
        <v>484</v>
      </c>
      <c r="D92" s="12">
        <v>1015042</v>
      </c>
      <c r="E92" s="12">
        <v>2</v>
      </c>
      <c r="F92" s="12"/>
      <c r="G92" s="12">
        <v>840</v>
      </c>
      <c r="H92" s="12">
        <v>13.5</v>
      </c>
      <c r="I92" s="12"/>
      <c r="J92" s="12" t="s">
        <v>123</v>
      </c>
      <c r="K92" s="12" t="b">
        <v>1</v>
      </c>
      <c r="L92" s="12">
        <v>2</v>
      </c>
      <c r="M92" s="8">
        <v>2016</v>
      </c>
      <c r="N92" s="9">
        <v>0</v>
      </c>
      <c r="O92" s="13">
        <v>41815</v>
      </c>
      <c r="P92" s="13">
        <v>41815</v>
      </c>
    </row>
    <row r="93" spans="1:16">
      <c r="A93" s="10">
        <v>2014</v>
      </c>
      <c r="B93" s="11" t="s">
        <v>483</v>
      </c>
      <c r="C93" s="11" t="s">
        <v>484</v>
      </c>
      <c r="D93" s="12">
        <v>1015042</v>
      </c>
      <c r="E93" s="12">
        <v>2</v>
      </c>
      <c r="F93" s="12"/>
      <c r="G93" s="12">
        <v>840</v>
      </c>
      <c r="H93" s="12">
        <v>13.5</v>
      </c>
      <c r="I93" s="12"/>
      <c r="J93" s="12" t="s">
        <v>123</v>
      </c>
      <c r="K93" s="12" t="b">
        <v>1</v>
      </c>
      <c r="L93" s="12">
        <v>1</v>
      </c>
      <c r="M93" s="8">
        <v>2015</v>
      </c>
      <c r="N93" s="9">
        <v>0</v>
      </c>
      <c r="O93" s="13">
        <v>41815</v>
      </c>
      <c r="P93" s="13">
        <v>41815</v>
      </c>
    </row>
    <row r="94" spans="1:16">
      <c r="A94" s="10">
        <v>2014</v>
      </c>
      <c r="B94" s="11" t="s">
        <v>483</v>
      </c>
      <c r="C94" s="11" t="s">
        <v>484</v>
      </c>
      <c r="D94" s="12">
        <v>1015042</v>
      </c>
      <c r="E94" s="12">
        <v>2</v>
      </c>
      <c r="F94" s="12"/>
      <c r="G94" s="12">
        <v>280</v>
      </c>
      <c r="H94" s="12">
        <v>4.4000000000000004</v>
      </c>
      <c r="I94" s="12"/>
      <c r="J94" s="12" t="s">
        <v>74</v>
      </c>
      <c r="K94" s="12" t="b">
        <v>0</v>
      </c>
      <c r="L94" s="12">
        <v>8</v>
      </c>
      <c r="M94" s="8">
        <v>2022</v>
      </c>
      <c r="N94" s="9">
        <v>0</v>
      </c>
      <c r="O94" s="13">
        <v>41815</v>
      </c>
      <c r="P94" s="13">
        <v>41815</v>
      </c>
    </row>
    <row r="95" spans="1:16">
      <c r="A95" s="10">
        <v>2014</v>
      </c>
      <c r="B95" s="11" t="s">
        <v>483</v>
      </c>
      <c r="C95" s="11" t="s">
        <v>484</v>
      </c>
      <c r="D95" s="12">
        <v>1015042</v>
      </c>
      <c r="E95" s="12">
        <v>2</v>
      </c>
      <c r="F95" s="12"/>
      <c r="G95" s="12">
        <v>280</v>
      </c>
      <c r="H95" s="12">
        <v>4.4000000000000004</v>
      </c>
      <c r="I95" s="12"/>
      <c r="J95" s="12" t="s">
        <v>74</v>
      </c>
      <c r="K95" s="12" t="b">
        <v>0</v>
      </c>
      <c r="L95" s="12">
        <v>2</v>
      </c>
      <c r="M95" s="8">
        <v>2016</v>
      </c>
      <c r="N95" s="9">
        <v>0</v>
      </c>
      <c r="O95" s="13">
        <v>41815</v>
      </c>
      <c r="P95" s="13">
        <v>41815</v>
      </c>
    </row>
    <row r="96" spans="1:16">
      <c r="A96" s="10">
        <v>2014</v>
      </c>
      <c r="B96" s="11" t="s">
        <v>483</v>
      </c>
      <c r="C96" s="11" t="s">
        <v>484</v>
      </c>
      <c r="D96" s="12">
        <v>1015042</v>
      </c>
      <c r="E96" s="12">
        <v>2</v>
      </c>
      <c r="F96" s="12"/>
      <c r="G96" s="12">
        <v>280</v>
      </c>
      <c r="H96" s="12">
        <v>4.4000000000000004</v>
      </c>
      <c r="I96" s="12"/>
      <c r="J96" s="12" t="s">
        <v>74</v>
      </c>
      <c r="K96" s="12" t="b">
        <v>0</v>
      </c>
      <c r="L96" s="12">
        <v>0</v>
      </c>
      <c r="M96" s="8">
        <v>2014</v>
      </c>
      <c r="N96" s="9">
        <v>0</v>
      </c>
      <c r="O96" s="13">
        <v>41815</v>
      </c>
      <c r="P96" s="13">
        <v>41815</v>
      </c>
    </row>
    <row r="97" spans="1:16">
      <c r="A97" s="10">
        <v>2014</v>
      </c>
      <c r="B97" s="11" t="s">
        <v>483</v>
      </c>
      <c r="C97" s="11" t="s">
        <v>484</v>
      </c>
      <c r="D97" s="12">
        <v>1015042</v>
      </c>
      <c r="E97" s="12">
        <v>2</v>
      </c>
      <c r="F97" s="12"/>
      <c r="G97" s="12">
        <v>280</v>
      </c>
      <c r="H97" s="12">
        <v>4.4000000000000004</v>
      </c>
      <c r="I97" s="12"/>
      <c r="J97" s="12" t="s">
        <v>74</v>
      </c>
      <c r="K97" s="12" t="b">
        <v>0</v>
      </c>
      <c r="L97" s="12">
        <v>6</v>
      </c>
      <c r="M97" s="8">
        <v>2020</v>
      </c>
      <c r="N97" s="9">
        <v>0</v>
      </c>
      <c r="O97" s="13">
        <v>41815</v>
      </c>
      <c r="P97" s="13">
        <v>41815</v>
      </c>
    </row>
    <row r="98" spans="1:16">
      <c r="A98" s="10">
        <v>2014</v>
      </c>
      <c r="B98" s="11" t="s">
        <v>483</v>
      </c>
      <c r="C98" s="11" t="s">
        <v>484</v>
      </c>
      <c r="D98" s="12">
        <v>1015042</v>
      </c>
      <c r="E98" s="12">
        <v>2</v>
      </c>
      <c r="F98" s="12"/>
      <c r="G98" s="12">
        <v>280</v>
      </c>
      <c r="H98" s="12">
        <v>4.4000000000000004</v>
      </c>
      <c r="I98" s="12"/>
      <c r="J98" s="12" t="s">
        <v>74</v>
      </c>
      <c r="K98" s="12" t="b">
        <v>0</v>
      </c>
      <c r="L98" s="12">
        <v>3</v>
      </c>
      <c r="M98" s="8">
        <v>2017</v>
      </c>
      <c r="N98" s="9">
        <v>0</v>
      </c>
      <c r="O98" s="13">
        <v>41815</v>
      </c>
      <c r="P98" s="13">
        <v>41815</v>
      </c>
    </row>
    <row r="99" spans="1:16">
      <c r="A99" s="10">
        <v>2014</v>
      </c>
      <c r="B99" s="11" t="s">
        <v>483</v>
      </c>
      <c r="C99" s="11" t="s">
        <v>484</v>
      </c>
      <c r="D99" s="12">
        <v>1015042</v>
      </c>
      <c r="E99" s="12">
        <v>2</v>
      </c>
      <c r="F99" s="12"/>
      <c r="G99" s="12">
        <v>280</v>
      </c>
      <c r="H99" s="12">
        <v>4.4000000000000004</v>
      </c>
      <c r="I99" s="12"/>
      <c r="J99" s="12" t="s">
        <v>74</v>
      </c>
      <c r="K99" s="12" t="b">
        <v>0</v>
      </c>
      <c r="L99" s="12">
        <v>1</v>
      </c>
      <c r="M99" s="8">
        <v>2015</v>
      </c>
      <c r="N99" s="9">
        <v>0</v>
      </c>
      <c r="O99" s="13">
        <v>41815</v>
      </c>
      <c r="P99" s="13">
        <v>41815</v>
      </c>
    </row>
    <row r="100" spans="1:16">
      <c r="A100" s="10">
        <v>2014</v>
      </c>
      <c r="B100" s="11" t="s">
        <v>483</v>
      </c>
      <c r="C100" s="11" t="s">
        <v>484</v>
      </c>
      <c r="D100" s="12">
        <v>1015042</v>
      </c>
      <c r="E100" s="12">
        <v>2</v>
      </c>
      <c r="F100" s="12"/>
      <c r="G100" s="12">
        <v>280</v>
      </c>
      <c r="H100" s="12">
        <v>4.4000000000000004</v>
      </c>
      <c r="I100" s="12"/>
      <c r="J100" s="12" t="s">
        <v>74</v>
      </c>
      <c r="K100" s="12" t="b">
        <v>0</v>
      </c>
      <c r="L100" s="12">
        <v>4</v>
      </c>
      <c r="M100" s="8">
        <v>2018</v>
      </c>
      <c r="N100" s="9">
        <v>0</v>
      </c>
      <c r="O100" s="13">
        <v>41815</v>
      </c>
      <c r="P100" s="13">
        <v>41815</v>
      </c>
    </row>
    <row r="101" spans="1:16">
      <c r="A101" s="10">
        <v>2014</v>
      </c>
      <c r="B101" s="11" t="s">
        <v>483</v>
      </c>
      <c r="C101" s="11" t="s">
        <v>484</v>
      </c>
      <c r="D101" s="12">
        <v>1015042</v>
      </c>
      <c r="E101" s="12">
        <v>2</v>
      </c>
      <c r="F101" s="12"/>
      <c r="G101" s="12">
        <v>280</v>
      </c>
      <c r="H101" s="12">
        <v>4.4000000000000004</v>
      </c>
      <c r="I101" s="12"/>
      <c r="J101" s="12" t="s">
        <v>74</v>
      </c>
      <c r="K101" s="12" t="b">
        <v>0</v>
      </c>
      <c r="L101" s="12">
        <v>7</v>
      </c>
      <c r="M101" s="8">
        <v>2021</v>
      </c>
      <c r="N101" s="9">
        <v>0</v>
      </c>
      <c r="O101" s="13">
        <v>41815</v>
      </c>
      <c r="P101" s="13">
        <v>41815</v>
      </c>
    </row>
    <row r="102" spans="1:16">
      <c r="A102" s="10">
        <v>2014</v>
      </c>
      <c r="B102" s="11" t="s">
        <v>483</v>
      </c>
      <c r="C102" s="11" t="s">
        <v>484</v>
      </c>
      <c r="D102" s="12">
        <v>1015042</v>
      </c>
      <c r="E102" s="12">
        <v>2</v>
      </c>
      <c r="F102" s="12"/>
      <c r="G102" s="12">
        <v>280</v>
      </c>
      <c r="H102" s="12">
        <v>4.4000000000000004</v>
      </c>
      <c r="I102" s="12"/>
      <c r="J102" s="12" t="s">
        <v>74</v>
      </c>
      <c r="K102" s="12" t="b">
        <v>0</v>
      </c>
      <c r="L102" s="12">
        <v>5</v>
      </c>
      <c r="M102" s="8">
        <v>2019</v>
      </c>
      <c r="N102" s="9">
        <v>0</v>
      </c>
      <c r="O102" s="13">
        <v>41815</v>
      </c>
      <c r="P102" s="13">
        <v>41815</v>
      </c>
    </row>
    <row r="103" spans="1:16">
      <c r="A103" s="10">
        <v>2014</v>
      </c>
      <c r="B103" s="11" t="s">
        <v>483</v>
      </c>
      <c r="C103" s="11" t="s">
        <v>484</v>
      </c>
      <c r="D103" s="12">
        <v>1015042</v>
      </c>
      <c r="E103" s="12">
        <v>2</v>
      </c>
      <c r="F103" s="12"/>
      <c r="G103" s="12">
        <v>700</v>
      </c>
      <c r="H103" s="12">
        <v>12.2</v>
      </c>
      <c r="I103" s="12"/>
      <c r="J103" s="12" t="s">
        <v>103</v>
      </c>
      <c r="K103" s="12" t="b">
        <v>0</v>
      </c>
      <c r="L103" s="12">
        <v>7</v>
      </c>
      <c r="M103" s="8">
        <v>2021</v>
      </c>
      <c r="N103" s="9">
        <v>0</v>
      </c>
      <c r="O103" s="13">
        <v>41815</v>
      </c>
      <c r="P103" s="13">
        <v>41815</v>
      </c>
    </row>
    <row r="104" spans="1:16">
      <c r="A104" s="10">
        <v>2014</v>
      </c>
      <c r="B104" s="11" t="s">
        <v>483</v>
      </c>
      <c r="C104" s="11" t="s">
        <v>484</v>
      </c>
      <c r="D104" s="12">
        <v>1015042</v>
      </c>
      <c r="E104" s="12">
        <v>2</v>
      </c>
      <c r="F104" s="12"/>
      <c r="G104" s="12">
        <v>700</v>
      </c>
      <c r="H104" s="12">
        <v>12.2</v>
      </c>
      <c r="I104" s="12"/>
      <c r="J104" s="12" t="s">
        <v>103</v>
      </c>
      <c r="K104" s="12" t="b">
        <v>0</v>
      </c>
      <c r="L104" s="12">
        <v>4</v>
      </c>
      <c r="M104" s="8">
        <v>2018</v>
      </c>
      <c r="N104" s="9">
        <v>0</v>
      </c>
      <c r="O104" s="13">
        <v>41815</v>
      </c>
      <c r="P104" s="13">
        <v>41815</v>
      </c>
    </row>
    <row r="105" spans="1:16">
      <c r="A105" s="10">
        <v>2014</v>
      </c>
      <c r="B105" s="11" t="s">
        <v>483</v>
      </c>
      <c r="C105" s="11" t="s">
        <v>484</v>
      </c>
      <c r="D105" s="12">
        <v>1015042</v>
      </c>
      <c r="E105" s="12">
        <v>2</v>
      </c>
      <c r="F105" s="12"/>
      <c r="G105" s="12">
        <v>700</v>
      </c>
      <c r="H105" s="12">
        <v>12.2</v>
      </c>
      <c r="I105" s="12"/>
      <c r="J105" s="12" t="s">
        <v>103</v>
      </c>
      <c r="K105" s="12" t="b">
        <v>0</v>
      </c>
      <c r="L105" s="12">
        <v>3</v>
      </c>
      <c r="M105" s="8">
        <v>2017</v>
      </c>
      <c r="N105" s="9">
        <v>0</v>
      </c>
      <c r="O105" s="13">
        <v>41815</v>
      </c>
      <c r="P105" s="13">
        <v>41815</v>
      </c>
    </row>
    <row r="106" spans="1:16">
      <c r="A106" s="10">
        <v>2014</v>
      </c>
      <c r="B106" s="11" t="s">
        <v>483</v>
      </c>
      <c r="C106" s="11" t="s">
        <v>484</v>
      </c>
      <c r="D106" s="12">
        <v>1015042</v>
      </c>
      <c r="E106" s="12">
        <v>2</v>
      </c>
      <c r="F106" s="12"/>
      <c r="G106" s="12">
        <v>700</v>
      </c>
      <c r="H106" s="12">
        <v>12.2</v>
      </c>
      <c r="I106" s="12"/>
      <c r="J106" s="12" t="s">
        <v>103</v>
      </c>
      <c r="K106" s="12" t="b">
        <v>0</v>
      </c>
      <c r="L106" s="12">
        <v>0</v>
      </c>
      <c r="M106" s="8">
        <v>2014</v>
      </c>
      <c r="N106" s="9">
        <v>1166609</v>
      </c>
      <c r="O106" s="13">
        <v>41815</v>
      </c>
      <c r="P106" s="13">
        <v>41815</v>
      </c>
    </row>
    <row r="107" spans="1:16">
      <c r="A107" s="10">
        <v>2014</v>
      </c>
      <c r="B107" s="11" t="s">
        <v>483</v>
      </c>
      <c r="C107" s="11" t="s">
        <v>484</v>
      </c>
      <c r="D107" s="12">
        <v>1015042</v>
      </c>
      <c r="E107" s="12">
        <v>2</v>
      </c>
      <c r="F107" s="12"/>
      <c r="G107" s="12">
        <v>700</v>
      </c>
      <c r="H107" s="12">
        <v>12.2</v>
      </c>
      <c r="I107" s="12"/>
      <c r="J107" s="12" t="s">
        <v>103</v>
      </c>
      <c r="K107" s="12" t="b">
        <v>0</v>
      </c>
      <c r="L107" s="12">
        <v>1</v>
      </c>
      <c r="M107" s="8">
        <v>2015</v>
      </c>
      <c r="N107" s="9">
        <v>0</v>
      </c>
      <c r="O107" s="13">
        <v>41815</v>
      </c>
      <c r="P107" s="13">
        <v>41815</v>
      </c>
    </row>
    <row r="108" spans="1:16">
      <c r="A108" s="10">
        <v>2014</v>
      </c>
      <c r="B108" s="11" t="s">
        <v>483</v>
      </c>
      <c r="C108" s="11" t="s">
        <v>484</v>
      </c>
      <c r="D108" s="12">
        <v>1015042</v>
      </c>
      <c r="E108" s="12">
        <v>2</v>
      </c>
      <c r="F108" s="12"/>
      <c r="G108" s="12">
        <v>700</v>
      </c>
      <c r="H108" s="12">
        <v>12.2</v>
      </c>
      <c r="I108" s="12"/>
      <c r="J108" s="12" t="s">
        <v>103</v>
      </c>
      <c r="K108" s="12" t="b">
        <v>0</v>
      </c>
      <c r="L108" s="12">
        <v>8</v>
      </c>
      <c r="M108" s="8">
        <v>2022</v>
      </c>
      <c r="N108" s="9">
        <v>0</v>
      </c>
      <c r="O108" s="13">
        <v>41815</v>
      </c>
      <c r="P108" s="13">
        <v>41815</v>
      </c>
    </row>
    <row r="109" spans="1:16">
      <c r="A109" s="10">
        <v>2014</v>
      </c>
      <c r="B109" s="11" t="s">
        <v>483</v>
      </c>
      <c r="C109" s="11" t="s">
        <v>484</v>
      </c>
      <c r="D109" s="12">
        <v>1015042</v>
      </c>
      <c r="E109" s="12">
        <v>2</v>
      </c>
      <c r="F109" s="12"/>
      <c r="G109" s="12">
        <v>700</v>
      </c>
      <c r="H109" s="12">
        <v>12.2</v>
      </c>
      <c r="I109" s="12"/>
      <c r="J109" s="12" t="s">
        <v>103</v>
      </c>
      <c r="K109" s="12" t="b">
        <v>0</v>
      </c>
      <c r="L109" s="12">
        <v>5</v>
      </c>
      <c r="M109" s="8">
        <v>2019</v>
      </c>
      <c r="N109" s="9">
        <v>0</v>
      </c>
      <c r="O109" s="13">
        <v>41815</v>
      </c>
      <c r="P109" s="13">
        <v>41815</v>
      </c>
    </row>
    <row r="110" spans="1:16">
      <c r="A110" s="10">
        <v>2014</v>
      </c>
      <c r="B110" s="11" t="s">
        <v>483</v>
      </c>
      <c r="C110" s="11" t="s">
        <v>484</v>
      </c>
      <c r="D110" s="12">
        <v>1015042</v>
      </c>
      <c r="E110" s="12">
        <v>2</v>
      </c>
      <c r="F110" s="12"/>
      <c r="G110" s="12">
        <v>700</v>
      </c>
      <c r="H110" s="12">
        <v>12.2</v>
      </c>
      <c r="I110" s="12"/>
      <c r="J110" s="12" t="s">
        <v>103</v>
      </c>
      <c r="K110" s="12" t="b">
        <v>0</v>
      </c>
      <c r="L110" s="12">
        <v>6</v>
      </c>
      <c r="M110" s="8">
        <v>2020</v>
      </c>
      <c r="N110" s="9">
        <v>0</v>
      </c>
      <c r="O110" s="13">
        <v>41815</v>
      </c>
      <c r="P110" s="13">
        <v>41815</v>
      </c>
    </row>
    <row r="111" spans="1:16">
      <c r="A111" s="10">
        <v>2014</v>
      </c>
      <c r="B111" s="11" t="s">
        <v>483</v>
      </c>
      <c r="C111" s="11" t="s">
        <v>484</v>
      </c>
      <c r="D111" s="12">
        <v>1015042</v>
      </c>
      <c r="E111" s="12">
        <v>2</v>
      </c>
      <c r="F111" s="12"/>
      <c r="G111" s="12">
        <v>700</v>
      </c>
      <c r="H111" s="12">
        <v>12.2</v>
      </c>
      <c r="I111" s="12"/>
      <c r="J111" s="12" t="s">
        <v>103</v>
      </c>
      <c r="K111" s="12" t="b">
        <v>0</v>
      </c>
      <c r="L111" s="12">
        <v>2</v>
      </c>
      <c r="M111" s="8">
        <v>2016</v>
      </c>
      <c r="N111" s="9">
        <v>0</v>
      </c>
      <c r="O111" s="13">
        <v>41815</v>
      </c>
      <c r="P111" s="13">
        <v>41815</v>
      </c>
    </row>
    <row r="112" spans="1:16">
      <c r="A112" s="10">
        <v>2014</v>
      </c>
      <c r="B112" s="11" t="s">
        <v>483</v>
      </c>
      <c r="C112" s="11" t="s">
        <v>484</v>
      </c>
      <c r="D112" s="12">
        <v>1015042</v>
      </c>
      <c r="E112" s="12">
        <v>2</v>
      </c>
      <c r="F112" s="12"/>
      <c r="G112" s="12">
        <v>230</v>
      </c>
      <c r="H112" s="12" t="s">
        <v>67</v>
      </c>
      <c r="I112" s="12"/>
      <c r="J112" s="12" t="s">
        <v>68</v>
      </c>
      <c r="K112" s="12" t="b">
        <v>0</v>
      </c>
      <c r="L112" s="12">
        <v>6</v>
      </c>
      <c r="M112" s="8">
        <v>2020</v>
      </c>
      <c r="N112" s="9">
        <v>0</v>
      </c>
      <c r="O112" s="13">
        <v>41815</v>
      </c>
      <c r="P112" s="13">
        <v>41815</v>
      </c>
    </row>
    <row r="113" spans="1:16">
      <c r="A113" s="10">
        <v>2014</v>
      </c>
      <c r="B113" s="11" t="s">
        <v>483</v>
      </c>
      <c r="C113" s="11" t="s">
        <v>484</v>
      </c>
      <c r="D113" s="12">
        <v>1015042</v>
      </c>
      <c r="E113" s="12">
        <v>2</v>
      </c>
      <c r="F113" s="12"/>
      <c r="G113" s="12">
        <v>230</v>
      </c>
      <c r="H113" s="12" t="s">
        <v>67</v>
      </c>
      <c r="I113" s="12"/>
      <c r="J113" s="12" t="s">
        <v>68</v>
      </c>
      <c r="K113" s="12" t="b">
        <v>0</v>
      </c>
      <c r="L113" s="12">
        <v>4</v>
      </c>
      <c r="M113" s="8">
        <v>2018</v>
      </c>
      <c r="N113" s="9">
        <v>0</v>
      </c>
      <c r="O113" s="13">
        <v>41815</v>
      </c>
      <c r="P113" s="13">
        <v>41815</v>
      </c>
    </row>
    <row r="114" spans="1:16">
      <c r="A114" s="10">
        <v>2014</v>
      </c>
      <c r="B114" s="11" t="s">
        <v>483</v>
      </c>
      <c r="C114" s="11" t="s">
        <v>484</v>
      </c>
      <c r="D114" s="12">
        <v>1015042</v>
      </c>
      <c r="E114" s="12">
        <v>2</v>
      </c>
      <c r="F114" s="12"/>
      <c r="G114" s="12">
        <v>230</v>
      </c>
      <c r="H114" s="12" t="s">
        <v>67</v>
      </c>
      <c r="I114" s="12"/>
      <c r="J114" s="12" t="s">
        <v>68</v>
      </c>
      <c r="K114" s="12" t="b">
        <v>0</v>
      </c>
      <c r="L114" s="12">
        <v>1</v>
      </c>
      <c r="M114" s="8">
        <v>2015</v>
      </c>
      <c r="N114" s="9">
        <v>0</v>
      </c>
      <c r="O114" s="13">
        <v>41815</v>
      </c>
      <c r="P114" s="13">
        <v>41815</v>
      </c>
    </row>
    <row r="115" spans="1:16">
      <c r="A115" s="10">
        <v>2014</v>
      </c>
      <c r="B115" s="11" t="s">
        <v>483</v>
      </c>
      <c r="C115" s="11" t="s">
        <v>484</v>
      </c>
      <c r="D115" s="12">
        <v>1015042</v>
      </c>
      <c r="E115" s="12">
        <v>2</v>
      </c>
      <c r="F115" s="12"/>
      <c r="G115" s="12">
        <v>230</v>
      </c>
      <c r="H115" s="12" t="s">
        <v>67</v>
      </c>
      <c r="I115" s="12"/>
      <c r="J115" s="12" t="s">
        <v>68</v>
      </c>
      <c r="K115" s="12" t="b">
        <v>0</v>
      </c>
      <c r="L115" s="12">
        <v>2</v>
      </c>
      <c r="M115" s="8">
        <v>2016</v>
      </c>
      <c r="N115" s="9">
        <v>0</v>
      </c>
      <c r="O115" s="13">
        <v>41815</v>
      </c>
      <c r="P115" s="13">
        <v>41815</v>
      </c>
    </row>
    <row r="116" spans="1:16">
      <c r="A116" s="10">
        <v>2014</v>
      </c>
      <c r="B116" s="11" t="s">
        <v>483</v>
      </c>
      <c r="C116" s="11" t="s">
        <v>484</v>
      </c>
      <c r="D116" s="12">
        <v>1015042</v>
      </c>
      <c r="E116" s="12">
        <v>2</v>
      </c>
      <c r="F116" s="12"/>
      <c r="G116" s="12">
        <v>230</v>
      </c>
      <c r="H116" s="12" t="s">
        <v>67</v>
      </c>
      <c r="I116" s="12"/>
      <c r="J116" s="12" t="s">
        <v>68</v>
      </c>
      <c r="K116" s="12" t="b">
        <v>0</v>
      </c>
      <c r="L116" s="12">
        <v>5</v>
      </c>
      <c r="M116" s="8">
        <v>2019</v>
      </c>
      <c r="N116" s="9">
        <v>0</v>
      </c>
      <c r="O116" s="13">
        <v>41815</v>
      </c>
      <c r="P116" s="13">
        <v>41815</v>
      </c>
    </row>
    <row r="117" spans="1:16">
      <c r="A117" s="10">
        <v>2014</v>
      </c>
      <c r="B117" s="11" t="s">
        <v>483</v>
      </c>
      <c r="C117" s="11" t="s">
        <v>484</v>
      </c>
      <c r="D117" s="12">
        <v>1015042</v>
      </c>
      <c r="E117" s="12">
        <v>2</v>
      </c>
      <c r="F117" s="12"/>
      <c r="G117" s="12">
        <v>230</v>
      </c>
      <c r="H117" s="12" t="s">
        <v>67</v>
      </c>
      <c r="I117" s="12"/>
      <c r="J117" s="12" t="s">
        <v>68</v>
      </c>
      <c r="K117" s="12" t="b">
        <v>0</v>
      </c>
      <c r="L117" s="12">
        <v>7</v>
      </c>
      <c r="M117" s="8">
        <v>2021</v>
      </c>
      <c r="N117" s="9">
        <v>0</v>
      </c>
      <c r="O117" s="13">
        <v>41815</v>
      </c>
      <c r="P117" s="13">
        <v>41815</v>
      </c>
    </row>
    <row r="118" spans="1:16">
      <c r="A118" s="10">
        <v>2014</v>
      </c>
      <c r="B118" s="11" t="s">
        <v>483</v>
      </c>
      <c r="C118" s="11" t="s">
        <v>484</v>
      </c>
      <c r="D118" s="12">
        <v>1015042</v>
      </c>
      <c r="E118" s="12">
        <v>2</v>
      </c>
      <c r="F118" s="12"/>
      <c r="G118" s="12">
        <v>230</v>
      </c>
      <c r="H118" s="12" t="s">
        <v>67</v>
      </c>
      <c r="I118" s="12"/>
      <c r="J118" s="12" t="s">
        <v>68</v>
      </c>
      <c r="K118" s="12" t="b">
        <v>0</v>
      </c>
      <c r="L118" s="12">
        <v>0</v>
      </c>
      <c r="M118" s="8">
        <v>2014</v>
      </c>
      <c r="N118" s="9">
        <v>0</v>
      </c>
      <c r="O118" s="13">
        <v>41815</v>
      </c>
      <c r="P118" s="13">
        <v>41815</v>
      </c>
    </row>
    <row r="119" spans="1:16">
      <c r="A119" s="10">
        <v>2014</v>
      </c>
      <c r="B119" s="11" t="s">
        <v>483</v>
      </c>
      <c r="C119" s="11" t="s">
        <v>484</v>
      </c>
      <c r="D119" s="12">
        <v>1015042</v>
      </c>
      <c r="E119" s="12">
        <v>2</v>
      </c>
      <c r="F119" s="12"/>
      <c r="G119" s="12">
        <v>230</v>
      </c>
      <c r="H119" s="12" t="s">
        <v>67</v>
      </c>
      <c r="I119" s="12"/>
      <c r="J119" s="12" t="s">
        <v>68</v>
      </c>
      <c r="K119" s="12" t="b">
        <v>0</v>
      </c>
      <c r="L119" s="12">
        <v>3</v>
      </c>
      <c r="M119" s="8">
        <v>2017</v>
      </c>
      <c r="N119" s="9">
        <v>0</v>
      </c>
      <c r="O119" s="13">
        <v>41815</v>
      </c>
      <c r="P119" s="13">
        <v>41815</v>
      </c>
    </row>
    <row r="120" spans="1:16">
      <c r="A120" s="10">
        <v>2014</v>
      </c>
      <c r="B120" s="11" t="s">
        <v>483</v>
      </c>
      <c r="C120" s="11" t="s">
        <v>484</v>
      </c>
      <c r="D120" s="12">
        <v>1015042</v>
      </c>
      <c r="E120" s="12">
        <v>2</v>
      </c>
      <c r="F120" s="12"/>
      <c r="G120" s="12">
        <v>230</v>
      </c>
      <c r="H120" s="12" t="s">
        <v>67</v>
      </c>
      <c r="I120" s="12"/>
      <c r="J120" s="12" t="s">
        <v>68</v>
      </c>
      <c r="K120" s="12" t="b">
        <v>0</v>
      </c>
      <c r="L120" s="12">
        <v>8</v>
      </c>
      <c r="M120" s="8">
        <v>2022</v>
      </c>
      <c r="N120" s="9">
        <v>0</v>
      </c>
      <c r="O120" s="13">
        <v>41815</v>
      </c>
      <c r="P120" s="13">
        <v>41815</v>
      </c>
    </row>
    <row r="121" spans="1:16">
      <c r="A121" s="10">
        <v>2014</v>
      </c>
      <c r="B121" s="11" t="s">
        <v>483</v>
      </c>
      <c r="C121" s="11" t="s">
        <v>484</v>
      </c>
      <c r="D121" s="12">
        <v>1015042</v>
      </c>
      <c r="E121" s="12">
        <v>2</v>
      </c>
      <c r="F121" s="12"/>
      <c r="G121" s="12">
        <v>500</v>
      </c>
      <c r="H121" s="12">
        <v>9.4</v>
      </c>
      <c r="I121" s="12" t="s">
        <v>384</v>
      </c>
      <c r="J121" s="12" t="s">
        <v>385</v>
      </c>
      <c r="K121" s="12" t="b">
        <v>0</v>
      </c>
      <c r="L121" s="12">
        <v>2</v>
      </c>
      <c r="M121" s="8">
        <v>2016</v>
      </c>
      <c r="N121" s="9">
        <v>6.9500000000000006E-2</v>
      </c>
      <c r="O121" s="13">
        <v>41815</v>
      </c>
      <c r="P121" s="13">
        <v>41815</v>
      </c>
    </row>
    <row r="122" spans="1:16">
      <c r="A122" s="10">
        <v>2014</v>
      </c>
      <c r="B122" s="11" t="s">
        <v>483</v>
      </c>
      <c r="C122" s="11" t="s">
        <v>484</v>
      </c>
      <c r="D122" s="12">
        <v>1015042</v>
      </c>
      <c r="E122" s="12">
        <v>2</v>
      </c>
      <c r="F122" s="12"/>
      <c r="G122" s="12">
        <v>500</v>
      </c>
      <c r="H122" s="12">
        <v>9.4</v>
      </c>
      <c r="I122" s="12" t="s">
        <v>384</v>
      </c>
      <c r="J122" s="12" t="s">
        <v>385</v>
      </c>
      <c r="K122" s="12" t="b">
        <v>0</v>
      </c>
      <c r="L122" s="12">
        <v>4</v>
      </c>
      <c r="M122" s="8">
        <v>2018</v>
      </c>
      <c r="N122" s="9">
        <v>4.6800000000000001E-2</v>
      </c>
      <c r="O122" s="13">
        <v>41815</v>
      </c>
      <c r="P122" s="13">
        <v>41815</v>
      </c>
    </row>
    <row r="123" spans="1:16">
      <c r="A123" s="10">
        <v>2014</v>
      </c>
      <c r="B123" s="11" t="s">
        <v>483</v>
      </c>
      <c r="C123" s="11" t="s">
        <v>484</v>
      </c>
      <c r="D123" s="12">
        <v>1015042</v>
      </c>
      <c r="E123" s="12">
        <v>2</v>
      </c>
      <c r="F123" s="12"/>
      <c r="G123" s="12">
        <v>500</v>
      </c>
      <c r="H123" s="12">
        <v>9.4</v>
      </c>
      <c r="I123" s="12" t="s">
        <v>384</v>
      </c>
      <c r="J123" s="12" t="s">
        <v>385</v>
      </c>
      <c r="K123" s="12" t="b">
        <v>0</v>
      </c>
      <c r="L123" s="12">
        <v>8</v>
      </c>
      <c r="M123" s="8">
        <v>2022</v>
      </c>
      <c r="N123" s="9">
        <v>4.5999999999999999E-3</v>
      </c>
      <c r="O123" s="13">
        <v>41815</v>
      </c>
      <c r="P123" s="13">
        <v>41815</v>
      </c>
    </row>
    <row r="124" spans="1:16">
      <c r="A124" s="10">
        <v>2014</v>
      </c>
      <c r="B124" s="11" t="s">
        <v>483</v>
      </c>
      <c r="C124" s="11" t="s">
        <v>484</v>
      </c>
      <c r="D124" s="12">
        <v>1015042</v>
      </c>
      <c r="E124" s="12">
        <v>2</v>
      </c>
      <c r="F124" s="12"/>
      <c r="G124" s="12">
        <v>500</v>
      </c>
      <c r="H124" s="12">
        <v>9.4</v>
      </c>
      <c r="I124" s="12" t="s">
        <v>384</v>
      </c>
      <c r="J124" s="12" t="s">
        <v>385</v>
      </c>
      <c r="K124" s="12" t="b">
        <v>0</v>
      </c>
      <c r="L124" s="12">
        <v>6</v>
      </c>
      <c r="M124" s="8">
        <v>2020</v>
      </c>
      <c r="N124" s="9">
        <v>3.1E-2</v>
      </c>
      <c r="O124" s="13">
        <v>41815</v>
      </c>
      <c r="P124" s="13">
        <v>41815</v>
      </c>
    </row>
    <row r="125" spans="1:16">
      <c r="A125" s="10">
        <v>2014</v>
      </c>
      <c r="B125" s="11" t="s">
        <v>483</v>
      </c>
      <c r="C125" s="11" t="s">
        <v>484</v>
      </c>
      <c r="D125" s="12">
        <v>1015042</v>
      </c>
      <c r="E125" s="12">
        <v>2</v>
      </c>
      <c r="F125" s="12"/>
      <c r="G125" s="12">
        <v>500</v>
      </c>
      <c r="H125" s="12">
        <v>9.4</v>
      </c>
      <c r="I125" s="12" t="s">
        <v>384</v>
      </c>
      <c r="J125" s="12" t="s">
        <v>385</v>
      </c>
      <c r="K125" s="12" t="b">
        <v>0</v>
      </c>
      <c r="L125" s="12">
        <v>5</v>
      </c>
      <c r="M125" s="8">
        <v>2019</v>
      </c>
      <c r="N125" s="9">
        <v>3.8899999999999997E-2</v>
      </c>
      <c r="O125" s="13">
        <v>41815</v>
      </c>
      <c r="P125" s="13">
        <v>41815</v>
      </c>
    </row>
    <row r="126" spans="1:16">
      <c r="A126" s="10">
        <v>2014</v>
      </c>
      <c r="B126" s="11" t="s">
        <v>483</v>
      </c>
      <c r="C126" s="11" t="s">
        <v>484</v>
      </c>
      <c r="D126" s="12">
        <v>1015042</v>
      </c>
      <c r="E126" s="12">
        <v>2</v>
      </c>
      <c r="F126" s="12"/>
      <c r="G126" s="12">
        <v>420</v>
      </c>
      <c r="H126" s="12">
        <v>8.1</v>
      </c>
      <c r="I126" s="12" t="s">
        <v>376</v>
      </c>
      <c r="J126" s="12" t="s">
        <v>82</v>
      </c>
      <c r="K126" s="12" t="b">
        <v>0</v>
      </c>
      <c r="L126" s="12">
        <v>7</v>
      </c>
      <c r="M126" s="8">
        <v>2021</v>
      </c>
      <c r="N126" s="9">
        <v>813383</v>
      </c>
      <c r="O126" s="13">
        <v>41815</v>
      </c>
      <c r="P126" s="13">
        <v>41815</v>
      </c>
    </row>
    <row r="127" spans="1:16">
      <c r="A127" s="10">
        <v>2014</v>
      </c>
      <c r="B127" s="11" t="s">
        <v>483</v>
      </c>
      <c r="C127" s="11" t="s">
        <v>484</v>
      </c>
      <c r="D127" s="12">
        <v>1015042</v>
      </c>
      <c r="E127" s="12">
        <v>2</v>
      </c>
      <c r="F127" s="12"/>
      <c r="G127" s="12">
        <v>420</v>
      </c>
      <c r="H127" s="12">
        <v>8.1</v>
      </c>
      <c r="I127" s="12" t="s">
        <v>376</v>
      </c>
      <c r="J127" s="12" t="s">
        <v>82</v>
      </c>
      <c r="K127" s="12" t="b">
        <v>0</v>
      </c>
      <c r="L127" s="12">
        <v>0</v>
      </c>
      <c r="M127" s="8">
        <v>2014</v>
      </c>
      <c r="N127" s="9">
        <v>249751</v>
      </c>
      <c r="O127" s="13">
        <v>41815</v>
      </c>
      <c r="P127" s="13">
        <v>41815</v>
      </c>
    </row>
    <row r="128" spans="1:16">
      <c r="A128" s="10">
        <v>2014</v>
      </c>
      <c r="B128" s="11" t="s">
        <v>483</v>
      </c>
      <c r="C128" s="11" t="s">
        <v>484</v>
      </c>
      <c r="D128" s="12">
        <v>1015042</v>
      </c>
      <c r="E128" s="12">
        <v>2</v>
      </c>
      <c r="F128" s="12"/>
      <c r="G128" s="12">
        <v>500</v>
      </c>
      <c r="H128" s="12">
        <v>9.4</v>
      </c>
      <c r="I128" s="12" t="s">
        <v>384</v>
      </c>
      <c r="J128" s="12" t="s">
        <v>385</v>
      </c>
      <c r="K128" s="12" t="b">
        <v>0</v>
      </c>
      <c r="L128" s="12">
        <v>1</v>
      </c>
      <c r="M128" s="8">
        <v>2015</v>
      </c>
      <c r="N128" s="9">
        <v>7.4700000000000003E-2</v>
      </c>
      <c r="O128" s="13">
        <v>41815</v>
      </c>
      <c r="P128" s="13">
        <v>41815</v>
      </c>
    </row>
    <row r="129" spans="1:16">
      <c r="A129" s="10">
        <v>2014</v>
      </c>
      <c r="B129" s="11" t="s">
        <v>483</v>
      </c>
      <c r="C129" s="11" t="s">
        <v>484</v>
      </c>
      <c r="D129" s="12">
        <v>1015042</v>
      </c>
      <c r="E129" s="12">
        <v>2</v>
      </c>
      <c r="F129" s="12"/>
      <c r="G129" s="12">
        <v>500</v>
      </c>
      <c r="H129" s="12">
        <v>9.4</v>
      </c>
      <c r="I129" s="12" t="s">
        <v>384</v>
      </c>
      <c r="J129" s="12" t="s">
        <v>385</v>
      </c>
      <c r="K129" s="12" t="b">
        <v>0</v>
      </c>
      <c r="L129" s="12">
        <v>3</v>
      </c>
      <c r="M129" s="8">
        <v>2017</v>
      </c>
      <c r="N129" s="9">
        <v>6.0400000000000002E-2</v>
      </c>
      <c r="O129" s="13">
        <v>41815</v>
      </c>
      <c r="P129" s="13">
        <v>41815</v>
      </c>
    </row>
    <row r="130" spans="1:16">
      <c r="A130" s="10">
        <v>2014</v>
      </c>
      <c r="B130" s="11" t="s">
        <v>483</v>
      </c>
      <c r="C130" s="11" t="s">
        <v>484</v>
      </c>
      <c r="D130" s="12">
        <v>1015042</v>
      </c>
      <c r="E130" s="12">
        <v>2</v>
      </c>
      <c r="F130" s="12"/>
      <c r="G130" s="12">
        <v>500</v>
      </c>
      <c r="H130" s="12">
        <v>9.4</v>
      </c>
      <c r="I130" s="12" t="s">
        <v>384</v>
      </c>
      <c r="J130" s="12" t="s">
        <v>385</v>
      </c>
      <c r="K130" s="12" t="b">
        <v>0</v>
      </c>
      <c r="L130" s="12">
        <v>7</v>
      </c>
      <c r="M130" s="8">
        <v>2021</v>
      </c>
      <c r="N130" s="9">
        <v>1.2699999999999999E-2</v>
      </c>
      <c r="O130" s="13">
        <v>41815</v>
      </c>
      <c r="P130" s="13">
        <v>41815</v>
      </c>
    </row>
    <row r="131" spans="1:16">
      <c r="A131" s="10">
        <v>2014</v>
      </c>
      <c r="B131" s="11" t="s">
        <v>483</v>
      </c>
      <c r="C131" s="11" t="s">
        <v>484</v>
      </c>
      <c r="D131" s="12">
        <v>1015042</v>
      </c>
      <c r="E131" s="12">
        <v>2</v>
      </c>
      <c r="F131" s="12"/>
      <c r="G131" s="12">
        <v>500</v>
      </c>
      <c r="H131" s="12">
        <v>9.4</v>
      </c>
      <c r="I131" s="12" t="s">
        <v>384</v>
      </c>
      <c r="J131" s="12" t="s">
        <v>385</v>
      </c>
      <c r="K131" s="12" t="b">
        <v>0</v>
      </c>
      <c r="L131" s="12">
        <v>0</v>
      </c>
      <c r="M131" s="8">
        <v>2014</v>
      </c>
      <c r="N131" s="9">
        <v>5.2999999999999999E-2</v>
      </c>
      <c r="O131" s="13">
        <v>41815</v>
      </c>
      <c r="P131" s="13">
        <v>41815</v>
      </c>
    </row>
    <row r="132" spans="1:16">
      <c r="A132" s="10">
        <v>2014</v>
      </c>
      <c r="B132" s="11" t="s">
        <v>483</v>
      </c>
      <c r="C132" s="11" t="s">
        <v>484</v>
      </c>
      <c r="D132" s="12">
        <v>1015042</v>
      </c>
      <c r="E132" s="12">
        <v>2</v>
      </c>
      <c r="F132" s="12"/>
      <c r="G132" s="12">
        <v>710</v>
      </c>
      <c r="H132" s="12" t="s">
        <v>104</v>
      </c>
      <c r="I132" s="12"/>
      <c r="J132" s="12" t="s">
        <v>105</v>
      </c>
      <c r="K132" s="12" t="b">
        <v>0</v>
      </c>
      <c r="L132" s="12">
        <v>2</v>
      </c>
      <c r="M132" s="8">
        <v>2016</v>
      </c>
      <c r="N132" s="9">
        <v>0</v>
      </c>
      <c r="O132" s="13">
        <v>41815</v>
      </c>
      <c r="P132" s="13">
        <v>41815</v>
      </c>
    </row>
    <row r="133" spans="1:16">
      <c r="A133" s="10">
        <v>2014</v>
      </c>
      <c r="B133" s="11" t="s">
        <v>483</v>
      </c>
      <c r="C133" s="11" t="s">
        <v>484</v>
      </c>
      <c r="D133" s="12">
        <v>1015042</v>
      </c>
      <c r="E133" s="12">
        <v>2</v>
      </c>
      <c r="F133" s="12"/>
      <c r="G133" s="12">
        <v>710</v>
      </c>
      <c r="H133" s="12" t="s">
        <v>104</v>
      </c>
      <c r="I133" s="12"/>
      <c r="J133" s="12" t="s">
        <v>105</v>
      </c>
      <c r="K133" s="12" t="b">
        <v>0</v>
      </c>
      <c r="L133" s="12">
        <v>7</v>
      </c>
      <c r="M133" s="8">
        <v>2021</v>
      </c>
      <c r="N133" s="9">
        <v>0</v>
      </c>
      <c r="O133" s="13">
        <v>41815</v>
      </c>
      <c r="P133" s="13">
        <v>41815</v>
      </c>
    </row>
    <row r="134" spans="1:16">
      <c r="A134" s="10">
        <v>2014</v>
      </c>
      <c r="B134" s="11" t="s">
        <v>483</v>
      </c>
      <c r="C134" s="11" t="s">
        <v>484</v>
      </c>
      <c r="D134" s="12">
        <v>1015042</v>
      </c>
      <c r="E134" s="12">
        <v>2</v>
      </c>
      <c r="F134" s="12"/>
      <c r="G134" s="12">
        <v>710</v>
      </c>
      <c r="H134" s="12" t="s">
        <v>104</v>
      </c>
      <c r="I134" s="12"/>
      <c r="J134" s="12" t="s">
        <v>105</v>
      </c>
      <c r="K134" s="12" t="b">
        <v>0</v>
      </c>
      <c r="L134" s="12">
        <v>1</v>
      </c>
      <c r="M134" s="8">
        <v>2015</v>
      </c>
      <c r="N134" s="9">
        <v>0</v>
      </c>
      <c r="O134" s="13">
        <v>41815</v>
      </c>
      <c r="P134" s="13">
        <v>41815</v>
      </c>
    </row>
    <row r="135" spans="1:16">
      <c r="A135" s="10">
        <v>2014</v>
      </c>
      <c r="B135" s="11" t="s">
        <v>483</v>
      </c>
      <c r="C135" s="11" t="s">
        <v>484</v>
      </c>
      <c r="D135" s="12">
        <v>1015042</v>
      </c>
      <c r="E135" s="12">
        <v>2</v>
      </c>
      <c r="F135" s="12"/>
      <c r="G135" s="12">
        <v>710</v>
      </c>
      <c r="H135" s="12" t="s">
        <v>104</v>
      </c>
      <c r="I135" s="12"/>
      <c r="J135" s="12" t="s">
        <v>105</v>
      </c>
      <c r="K135" s="12" t="b">
        <v>0</v>
      </c>
      <c r="L135" s="12">
        <v>0</v>
      </c>
      <c r="M135" s="8">
        <v>2014</v>
      </c>
      <c r="N135" s="9">
        <v>1095933.3500000001</v>
      </c>
      <c r="O135" s="13">
        <v>41815</v>
      </c>
      <c r="P135" s="13">
        <v>41815</v>
      </c>
    </row>
    <row r="136" spans="1:16">
      <c r="A136" s="10">
        <v>2014</v>
      </c>
      <c r="B136" s="11" t="s">
        <v>483</v>
      </c>
      <c r="C136" s="11" t="s">
        <v>484</v>
      </c>
      <c r="D136" s="12">
        <v>1015042</v>
      </c>
      <c r="E136" s="12">
        <v>2</v>
      </c>
      <c r="F136" s="12"/>
      <c r="G136" s="12">
        <v>710</v>
      </c>
      <c r="H136" s="12" t="s">
        <v>104</v>
      </c>
      <c r="I136" s="12"/>
      <c r="J136" s="12" t="s">
        <v>105</v>
      </c>
      <c r="K136" s="12" t="b">
        <v>0</v>
      </c>
      <c r="L136" s="12">
        <v>4</v>
      </c>
      <c r="M136" s="8">
        <v>2018</v>
      </c>
      <c r="N136" s="9">
        <v>0</v>
      </c>
      <c r="O136" s="13">
        <v>41815</v>
      </c>
      <c r="P136" s="13">
        <v>41815</v>
      </c>
    </row>
    <row r="137" spans="1:16">
      <c r="A137" s="10">
        <v>2014</v>
      </c>
      <c r="B137" s="11" t="s">
        <v>483</v>
      </c>
      <c r="C137" s="11" t="s">
        <v>484</v>
      </c>
      <c r="D137" s="12">
        <v>1015042</v>
      </c>
      <c r="E137" s="12">
        <v>2</v>
      </c>
      <c r="F137" s="12"/>
      <c r="G137" s="12">
        <v>710</v>
      </c>
      <c r="H137" s="12" t="s">
        <v>104</v>
      </c>
      <c r="I137" s="12"/>
      <c r="J137" s="12" t="s">
        <v>105</v>
      </c>
      <c r="K137" s="12" t="b">
        <v>0</v>
      </c>
      <c r="L137" s="12">
        <v>8</v>
      </c>
      <c r="M137" s="8">
        <v>2022</v>
      </c>
      <c r="N137" s="9">
        <v>0</v>
      </c>
      <c r="O137" s="13">
        <v>41815</v>
      </c>
      <c r="P137" s="13">
        <v>41815</v>
      </c>
    </row>
    <row r="138" spans="1:16">
      <c r="A138" s="10">
        <v>2014</v>
      </c>
      <c r="B138" s="11" t="s">
        <v>483</v>
      </c>
      <c r="C138" s="11" t="s">
        <v>484</v>
      </c>
      <c r="D138" s="12">
        <v>1015042</v>
      </c>
      <c r="E138" s="12">
        <v>2</v>
      </c>
      <c r="F138" s="12"/>
      <c r="G138" s="12">
        <v>710</v>
      </c>
      <c r="H138" s="12" t="s">
        <v>104</v>
      </c>
      <c r="I138" s="12"/>
      <c r="J138" s="12" t="s">
        <v>105</v>
      </c>
      <c r="K138" s="12" t="b">
        <v>0</v>
      </c>
      <c r="L138" s="12">
        <v>6</v>
      </c>
      <c r="M138" s="8">
        <v>2020</v>
      </c>
      <c r="N138" s="9">
        <v>0</v>
      </c>
      <c r="O138" s="13">
        <v>41815</v>
      </c>
      <c r="P138" s="13">
        <v>41815</v>
      </c>
    </row>
    <row r="139" spans="1:16">
      <c r="A139" s="10">
        <v>2014</v>
      </c>
      <c r="B139" s="11" t="s">
        <v>483</v>
      </c>
      <c r="C139" s="11" t="s">
        <v>484</v>
      </c>
      <c r="D139" s="12">
        <v>1015042</v>
      </c>
      <c r="E139" s="12">
        <v>2</v>
      </c>
      <c r="F139" s="12"/>
      <c r="G139" s="12">
        <v>710</v>
      </c>
      <c r="H139" s="12" t="s">
        <v>104</v>
      </c>
      <c r="I139" s="12"/>
      <c r="J139" s="12" t="s">
        <v>105</v>
      </c>
      <c r="K139" s="12" t="b">
        <v>0</v>
      </c>
      <c r="L139" s="12">
        <v>5</v>
      </c>
      <c r="M139" s="8">
        <v>2019</v>
      </c>
      <c r="N139" s="9">
        <v>0</v>
      </c>
      <c r="O139" s="13">
        <v>41815</v>
      </c>
      <c r="P139" s="13">
        <v>41815</v>
      </c>
    </row>
    <row r="140" spans="1:16">
      <c r="A140" s="10">
        <v>2014</v>
      </c>
      <c r="B140" s="11" t="s">
        <v>483</v>
      </c>
      <c r="C140" s="11" t="s">
        <v>484</v>
      </c>
      <c r="D140" s="12">
        <v>1015042</v>
      </c>
      <c r="E140" s="12">
        <v>2</v>
      </c>
      <c r="F140" s="12"/>
      <c r="G140" s="12">
        <v>710</v>
      </c>
      <c r="H140" s="12" t="s">
        <v>104</v>
      </c>
      <c r="I140" s="12"/>
      <c r="J140" s="12" t="s">
        <v>105</v>
      </c>
      <c r="K140" s="12" t="b">
        <v>0</v>
      </c>
      <c r="L140" s="12">
        <v>3</v>
      </c>
      <c r="M140" s="8">
        <v>2017</v>
      </c>
      <c r="N140" s="9">
        <v>0</v>
      </c>
      <c r="O140" s="13">
        <v>41815</v>
      </c>
      <c r="P140" s="13">
        <v>41815</v>
      </c>
    </row>
    <row r="141" spans="1:16">
      <c r="A141" s="10">
        <v>2014</v>
      </c>
      <c r="B141" s="11" t="s">
        <v>483</v>
      </c>
      <c r="C141" s="11" t="s">
        <v>484</v>
      </c>
      <c r="D141" s="12">
        <v>1015042</v>
      </c>
      <c r="E141" s="12">
        <v>2</v>
      </c>
      <c r="F141" s="12"/>
      <c r="G141" s="12">
        <v>630</v>
      </c>
      <c r="H141" s="12">
        <v>11.4</v>
      </c>
      <c r="I141" s="12"/>
      <c r="J141" s="12" t="s">
        <v>94</v>
      </c>
      <c r="K141" s="12" t="b">
        <v>1</v>
      </c>
      <c r="L141" s="12">
        <v>3</v>
      </c>
      <c r="M141" s="8">
        <v>2017</v>
      </c>
      <c r="N141" s="9">
        <v>0</v>
      </c>
      <c r="O141" s="13">
        <v>41815</v>
      </c>
      <c r="P141" s="13">
        <v>41815</v>
      </c>
    </row>
    <row r="142" spans="1:16">
      <c r="A142" s="10">
        <v>2014</v>
      </c>
      <c r="B142" s="11" t="s">
        <v>483</v>
      </c>
      <c r="C142" s="11" t="s">
        <v>484</v>
      </c>
      <c r="D142" s="12">
        <v>1015042</v>
      </c>
      <c r="E142" s="12">
        <v>2</v>
      </c>
      <c r="F142" s="12"/>
      <c r="G142" s="12">
        <v>630</v>
      </c>
      <c r="H142" s="12">
        <v>11.4</v>
      </c>
      <c r="I142" s="12"/>
      <c r="J142" s="12" t="s">
        <v>94</v>
      </c>
      <c r="K142" s="12" t="b">
        <v>1</v>
      </c>
      <c r="L142" s="12">
        <v>8</v>
      </c>
      <c r="M142" s="8">
        <v>2022</v>
      </c>
      <c r="N142" s="9">
        <v>0</v>
      </c>
      <c r="O142" s="13">
        <v>41815</v>
      </c>
      <c r="P142" s="13">
        <v>41815</v>
      </c>
    </row>
    <row r="143" spans="1:16">
      <c r="A143" s="10">
        <v>2014</v>
      </c>
      <c r="B143" s="11" t="s">
        <v>483</v>
      </c>
      <c r="C143" s="11" t="s">
        <v>484</v>
      </c>
      <c r="D143" s="12">
        <v>1015042</v>
      </c>
      <c r="E143" s="12">
        <v>2</v>
      </c>
      <c r="F143" s="12"/>
      <c r="G143" s="12">
        <v>630</v>
      </c>
      <c r="H143" s="12">
        <v>11.4</v>
      </c>
      <c r="I143" s="12"/>
      <c r="J143" s="12" t="s">
        <v>94</v>
      </c>
      <c r="K143" s="12" t="b">
        <v>1</v>
      </c>
      <c r="L143" s="12">
        <v>7</v>
      </c>
      <c r="M143" s="8">
        <v>2021</v>
      </c>
      <c r="N143" s="9">
        <v>0</v>
      </c>
      <c r="O143" s="13">
        <v>41815</v>
      </c>
      <c r="P143" s="13">
        <v>41815</v>
      </c>
    </row>
    <row r="144" spans="1:16">
      <c r="A144" s="10">
        <v>2014</v>
      </c>
      <c r="B144" s="11" t="s">
        <v>483</v>
      </c>
      <c r="C144" s="11" t="s">
        <v>484</v>
      </c>
      <c r="D144" s="12">
        <v>1015042</v>
      </c>
      <c r="E144" s="12">
        <v>2</v>
      </c>
      <c r="F144" s="12"/>
      <c r="G144" s="12">
        <v>630</v>
      </c>
      <c r="H144" s="12">
        <v>11.4</v>
      </c>
      <c r="I144" s="12"/>
      <c r="J144" s="12" t="s">
        <v>94</v>
      </c>
      <c r="K144" s="12" t="b">
        <v>1</v>
      </c>
      <c r="L144" s="12">
        <v>2</v>
      </c>
      <c r="M144" s="8">
        <v>2016</v>
      </c>
      <c r="N144" s="9">
        <v>0</v>
      </c>
      <c r="O144" s="13">
        <v>41815</v>
      </c>
      <c r="P144" s="13">
        <v>41815</v>
      </c>
    </row>
    <row r="145" spans="1:16">
      <c r="A145" s="10">
        <v>2014</v>
      </c>
      <c r="B145" s="11" t="s">
        <v>483</v>
      </c>
      <c r="C145" s="11" t="s">
        <v>484</v>
      </c>
      <c r="D145" s="12">
        <v>1015042</v>
      </c>
      <c r="E145" s="12">
        <v>2</v>
      </c>
      <c r="F145" s="12"/>
      <c r="G145" s="12">
        <v>630</v>
      </c>
      <c r="H145" s="12">
        <v>11.4</v>
      </c>
      <c r="I145" s="12"/>
      <c r="J145" s="12" t="s">
        <v>94</v>
      </c>
      <c r="K145" s="12" t="b">
        <v>1</v>
      </c>
      <c r="L145" s="12">
        <v>4</v>
      </c>
      <c r="M145" s="8">
        <v>2018</v>
      </c>
      <c r="N145" s="9">
        <v>0</v>
      </c>
      <c r="O145" s="13">
        <v>41815</v>
      </c>
      <c r="P145" s="13">
        <v>41815</v>
      </c>
    </row>
    <row r="146" spans="1:16">
      <c r="A146" s="10">
        <v>2014</v>
      </c>
      <c r="B146" s="11" t="s">
        <v>483</v>
      </c>
      <c r="C146" s="11" t="s">
        <v>484</v>
      </c>
      <c r="D146" s="12">
        <v>1015042</v>
      </c>
      <c r="E146" s="12">
        <v>2</v>
      </c>
      <c r="F146" s="12"/>
      <c r="G146" s="12">
        <v>630</v>
      </c>
      <c r="H146" s="12">
        <v>11.4</v>
      </c>
      <c r="I146" s="12"/>
      <c r="J146" s="12" t="s">
        <v>94</v>
      </c>
      <c r="K146" s="12" t="b">
        <v>1</v>
      </c>
      <c r="L146" s="12">
        <v>0</v>
      </c>
      <c r="M146" s="8">
        <v>2014</v>
      </c>
      <c r="N146" s="9">
        <v>1684800</v>
      </c>
      <c r="O146" s="13">
        <v>41815</v>
      </c>
      <c r="P146" s="13">
        <v>41815</v>
      </c>
    </row>
    <row r="147" spans="1:16">
      <c r="A147" s="10">
        <v>2014</v>
      </c>
      <c r="B147" s="11" t="s">
        <v>483</v>
      </c>
      <c r="C147" s="11" t="s">
        <v>484</v>
      </c>
      <c r="D147" s="12">
        <v>1015042</v>
      </c>
      <c r="E147" s="12">
        <v>2</v>
      </c>
      <c r="F147" s="12"/>
      <c r="G147" s="12">
        <v>630</v>
      </c>
      <c r="H147" s="12">
        <v>11.4</v>
      </c>
      <c r="I147" s="12"/>
      <c r="J147" s="12" t="s">
        <v>94</v>
      </c>
      <c r="K147" s="12" t="b">
        <v>1</v>
      </c>
      <c r="L147" s="12">
        <v>5</v>
      </c>
      <c r="M147" s="8">
        <v>2019</v>
      </c>
      <c r="N147" s="9">
        <v>0</v>
      </c>
      <c r="O147" s="13">
        <v>41815</v>
      </c>
      <c r="P147" s="13">
        <v>41815</v>
      </c>
    </row>
    <row r="148" spans="1:16">
      <c r="A148" s="10">
        <v>2014</v>
      </c>
      <c r="B148" s="11" t="s">
        <v>483</v>
      </c>
      <c r="C148" s="11" t="s">
        <v>484</v>
      </c>
      <c r="D148" s="12">
        <v>1015042</v>
      </c>
      <c r="E148" s="12">
        <v>2</v>
      </c>
      <c r="F148" s="12"/>
      <c r="G148" s="12">
        <v>630</v>
      </c>
      <c r="H148" s="12">
        <v>11.4</v>
      </c>
      <c r="I148" s="12"/>
      <c r="J148" s="12" t="s">
        <v>94</v>
      </c>
      <c r="K148" s="12" t="b">
        <v>1</v>
      </c>
      <c r="L148" s="12">
        <v>6</v>
      </c>
      <c r="M148" s="8">
        <v>2020</v>
      </c>
      <c r="N148" s="9">
        <v>0</v>
      </c>
      <c r="O148" s="13">
        <v>41815</v>
      </c>
      <c r="P148" s="13">
        <v>41815</v>
      </c>
    </row>
    <row r="149" spans="1:16">
      <c r="A149" s="10">
        <v>2014</v>
      </c>
      <c r="B149" s="11" t="s">
        <v>483</v>
      </c>
      <c r="C149" s="11" t="s">
        <v>484</v>
      </c>
      <c r="D149" s="12">
        <v>1015042</v>
      </c>
      <c r="E149" s="12">
        <v>2</v>
      </c>
      <c r="F149" s="12"/>
      <c r="G149" s="12">
        <v>630</v>
      </c>
      <c r="H149" s="12">
        <v>11.4</v>
      </c>
      <c r="I149" s="12"/>
      <c r="J149" s="12" t="s">
        <v>94</v>
      </c>
      <c r="K149" s="12" t="b">
        <v>1</v>
      </c>
      <c r="L149" s="12">
        <v>1</v>
      </c>
      <c r="M149" s="8">
        <v>2015</v>
      </c>
      <c r="N149" s="9">
        <v>0</v>
      </c>
      <c r="O149" s="13">
        <v>41815</v>
      </c>
      <c r="P149" s="13">
        <v>41815</v>
      </c>
    </row>
    <row r="150" spans="1:16">
      <c r="A150" s="10">
        <v>2014</v>
      </c>
      <c r="B150" s="11" t="s">
        <v>483</v>
      </c>
      <c r="C150" s="11" t="s">
        <v>484</v>
      </c>
      <c r="D150" s="12">
        <v>1015042</v>
      </c>
      <c r="E150" s="12">
        <v>2</v>
      </c>
      <c r="F150" s="12"/>
      <c r="G150" s="12">
        <v>420</v>
      </c>
      <c r="H150" s="12">
        <v>8.1</v>
      </c>
      <c r="I150" s="12" t="s">
        <v>376</v>
      </c>
      <c r="J150" s="12" t="s">
        <v>82</v>
      </c>
      <c r="K150" s="12" t="b">
        <v>0</v>
      </c>
      <c r="L150" s="12">
        <v>6</v>
      </c>
      <c r="M150" s="8">
        <v>2020</v>
      </c>
      <c r="N150" s="9">
        <v>777594</v>
      </c>
      <c r="O150" s="13">
        <v>41815</v>
      </c>
      <c r="P150" s="13">
        <v>41815</v>
      </c>
    </row>
    <row r="151" spans="1:16">
      <c r="A151" s="10">
        <v>2014</v>
      </c>
      <c r="B151" s="11" t="s">
        <v>483</v>
      </c>
      <c r="C151" s="11" t="s">
        <v>484</v>
      </c>
      <c r="D151" s="12">
        <v>1015042</v>
      </c>
      <c r="E151" s="12">
        <v>2</v>
      </c>
      <c r="F151" s="12"/>
      <c r="G151" s="12">
        <v>420</v>
      </c>
      <c r="H151" s="12">
        <v>8.1</v>
      </c>
      <c r="I151" s="12" t="s">
        <v>376</v>
      </c>
      <c r="J151" s="12" t="s">
        <v>82</v>
      </c>
      <c r="K151" s="12" t="b">
        <v>0</v>
      </c>
      <c r="L151" s="12">
        <v>8</v>
      </c>
      <c r="M151" s="8">
        <v>2022</v>
      </c>
      <c r="N151" s="9">
        <v>853028</v>
      </c>
      <c r="O151" s="13">
        <v>41815</v>
      </c>
      <c r="P151" s="13">
        <v>41815</v>
      </c>
    </row>
    <row r="152" spans="1:16">
      <c r="A152" s="10">
        <v>2014</v>
      </c>
      <c r="B152" s="11" t="s">
        <v>483</v>
      </c>
      <c r="C152" s="11" t="s">
        <v>484</v>
      </c>
      <c r="D152" s="12">
        <v>1015042</v>
      </c>
      <c r="E152" s="12">
        <v>2</v>
      </c>
      <c r="F152" s="12"/>
      <c r="G152" s="12">
        <v>420</v>
      </c>
      <c r="H152" s="12">
        <v>8.1</v>
      </c>
      <c r="I152" s="12" t="s">
        <v>376</v>
      </c>
      <c r="J152" s="12" t="s">
        <v>82</v>
      </c>
      <c r="K152" s="12" t="b">
        <v>0</v>
      </c>
      <c r="L152" s="12">
        <v>5</v>
      </c>
      <c r="M152" s="8">
        <v>2019</v>
      </c>
      <c r="N152" s="9">
        <v>747490</v>
      </c>
      <c r="O152" s="13">
        <v>41815</v>
      </c>
      <c r="P152" s="13">
        <v>41815</v>
      </c>
    </row>
    <row r="153" spans="1:16">
      <c r="A153" s="10">
        <v>2014</v>
      </c>
      <c r="B153" s="11" t="s">
        <v>483</v>
      </c>
      <c r="C153" s="11" t="s">
        <v>484</v>
      </c>
      <c r="D153" s="12">
        <v>1015042</v>
      </c>
      <c r="E153" s="12">
        <v>2</v>
      </c>
      <c r="F153" s="12"/>
      <c r="G153" s="12">
        <v>420</v>
      </c>
      <c r="H153" s="12">
        <v>8.1</v>
      </c>
      <c r="I153" s="12" t="s">
        <v>376</v>
      </c>
      <c r="J153" s="12" t="s">
        <v>82</v>
      </c>
      <c r="K153" s="12" t="b">
        <v>0</v>
      </c>
      <c r="L153" s="12">
        <v>1</v>
      </c>
      <c r="M153" s="8">
        <v>2015</v>
      </c>
      <c r="N153" s="9">
        <v>770819</v>
      </c>
      <c r="O153" s="13">
        <v>41815</v>
      </c>
      <c r="P153" s="13">
        <v>41815</v>
      </c>
    </row>
    <row r="154" spans="1:16">
      <c r="A154" s="10">
        <v>2014</v>
      </c>
      <c r="B154" s="11" t="s">
        <v>483</v>
      </c>
      <c r="C154" s="11" t="s">
        <v>484</v>
      </c>
      <c r="D154" s="12">
        <v>1015042</v>
      </c>
      <c r="E154" s="12">
        <v>2</v>
      </c>
      <c r="F154" s="12"/>
      <c r="G154" s="12">
        <v>420</v>
      </c>
      <c r="H154" s="12">
        <v>8.1</v>
      </c>
      <c r="I154" s="12" t="s">
        <v>376</v>
      </c>
      <c r="J154" s="12" t="s">
        <v>82</v>
      </c>
      <c r="K154" s="12" t="b">
        <v>0</v>
      </c>
      <c r="L154" s="12">
        <v>2</v>
      </c>
      <c r="M154" s="8">
        <v>2016</v>
      </c>
      <c r="N154" s="9">
        <v>870072</v>
      </c>
      <c r="O154" s="13">
        <v>41815</v>
      </c>
      <c r="P154" s="13">
        <v>41815</v>
      </c>
    </row>
    <row r="155" spans="1:16">
      <c r="A155" s="10">
        <v>2014</v>
      </c>
      <c r="B155" s="11" t="s">
        <v>483</v>
      </c>
      <c r="C155" s="11" t="s">
        <v>484</v>
      </c>
      <c r="D155" s="12">
        <v>1015042</v>
      </c>
      <c r="E155" s="12">
        <v>2</v>
      </c>
      <c r="F155" s="12"/>
      <c r="G155" s="12">
        <v>420</v>
      </c>
      <c r="H155" s="12">
        <v>8.1</v>
      </c>
      <c r="I155" s="12" t="s">
        <v>376</v>
      </c>
      <c r="J155" s="12" t="s">
        <v>82</v>
      </c>
      <c r="K155" s="12" t="b">
        <v>0</v>
      </c>
      <c r="L155" s="12">
        <v>3</v>
      </c>
      <c r="M155" s="8">
        <v>2017</v>
      </c>
      <c r="N155" s="9">
        <v>708917</v>
      </c>
      <c r="O155" s="13">
        <v>41815</v>
      </c>
      <c r="P155" s="13">
        <v>41815</v>
      </c>
    </row>
    <row r="156" spans="1:16">
      <c r="A156" s="10">
        <v>2014</v>
      </c>
      <c r="B156" s="11" t="s">
        <v>483</v>
      </c>
      <c r="C156" s="11" t="s">
        <v>484</v>
      </c>
      <c r="D156" s="12">
        <v>1015042</v>
      </c>
      <c r="E156" s="12">
        <v>2</v>
      </c>
      <c r="F156" s="12"/>
      <c r="G156" s="12">
        <v>420</v>
      </c>
      <c r="H156" s="12">
        <v>8.1</v>
      </c>
      <c r="I156" s="12" t="s">
        <v>376</v>
      </c>
      <c r="J156" s="12" t="s">
        <v>82</v>
      </c>
      <c r="K156" s="12" t="b">
        <v>0</v>
      </c>
      <c r="L156" s="12">
        <v>4</v>
      </c>
      <c r="M156" s="8">
        <v>2018</v>
      </c>
      <c r="N156" s="9">
        <v>720906</v>
      </c>
      <c r="O156" s="13">
        <v>41815</v>
      </c>
      <c r="P156" s="13">
        <v>41815</v>
      </c>
    </row>
    <row r="157" spans="1:16">
      <c r="A157" s="10">
        <v>2014</v>
      </c>
      <c r="B157" s="11" t="s">
        <v>483</v>
      </c>
      <c r="C157" s="11" t="s">
        <v>484</v>
      </c>
      <c r="D157" s="12">
        <v>1015042</v>
      </c>
      <c r="E157" s="12">
        <v>2</v>
      </c>
      <c r="F157" s="12"/>
      <c r="G157" s="12">
        <v>110</v>
      </c>
      <c r="H157" s="12" t="s">
        <v>56</v>
      </c>
      <c r="I157" s="12"/>
      <c r="J157" s="12" t="s">
        <v>57</v>
      </c>
      <c r="K157" s="12" t="b">
        <v>1</v>
      </c>
      <c r="L157" s="12">
        <v>1</v>
      </c>
      <c r="M157" s="8">
        <v>2015</v>
      </c>
      <c r="N157" s="9">
        <v>0</v>
      </c>
      <c r="O157" s="13">
        <v>41815</v>
      </c>
      <c r="P157" s="13">
        <v>41815</v>
      </c>
    </row>
    <row r="158" spans="1:16">
      <c r="A158" s="10">
        <v>2014</v>
      </c>
      <c r="B158" s="11" t="s">
        <v>483</v>
      </c>
      <c r="C158" s="11" t="s">
        <v>484</v>
      </c>
      <c r="D158" s="12">
        <v>1015042</v>
      </c>
      <c r="E158" s="12">
        <v>2</v>
      </c>
      <c r="F158" s="12"/>
      <c r="G158" s="12">
        <v>110</v>
      </c>
      <c r="H158" s="12" t="s">
        <v>56</v>
      </c>
      <c r="I158" s="12"/>
      <c r="J158" s="12" t="s">
        <v>57</v>
      </c>
      <c r="K158" s="12" t="b">
        <v>1</v>
      </c>
      <c r="L158" s="12">
        <v>5</v>
      </c>
      <c r="M158" s="8">
        <v>2019</v>
      </c>
      <c r="N158" s="9">
        <v>0</v>
      </c>
      <c r="O158" s="13">
        <v>41815</v>
      </c>
      <c r="P158" s="13">
        <v>41815</v>
      </c>
    </row>
    <row r="159" spans="1:16">
      <c r="A159" s="10">
        <v>2014</v>
      </c>
      <c r="B159" s="11" t="s">
        <v>483</v>
      </c>
      <c r="C159" s="11" t="s">
        <v>484</v>
      </c>
      <c r="D159" s="12">
        <v>1015042</v>
      </c>
      <c r="E159" s="12">
        <v>2</v>
      </c>
      <c r="F159" s="12"/>
      <c r="G159" s="12">
        <v>110</v>
      </c>
      <c r="H159" s="12" t="s">
        <v>56</v>
      </c>
      <c r="I159" s="12"/>
      <c r="J159" s="12" t="s">
        <v>57</v>
      </c>
      <c r="K159" s="12" t="b">
        <v>1</v>
      </c>
      <c r="L159" s="12">
        <v>3</v>
      </c>
      <c r="M159" s="8">
        <v>2017</v>
      </c>
      <c r="N159" s="9">
        <v>0</v>
      </c>
      <c r="O159" s="13">
        <v>41815</v>
      </c>
      <c r="P159" s="13">
        <v>41815</v>
      </c>
    </row>
    <row r="160" spans="1:16">
      <c r="A160" s="10">
        <v>2014</v>
      </c>
      <c r="B160" s="11" t="s">
        <v>483</v>
      </c>
      <c r="C160" s="11" t="s">
        <v>484</v>
      </c>
      <c r="D160" s="12">
        <v>1015042</v>
      </c>
      <c r="E160" s="12">
        <v>2</v>
      </c>
      <c r="F160" s="12"/>
      <c r="G160" s="12">
        <v>110</v>
      </c>
      <c r="H160" s="12" t="s">
        <v>56</v>
      </c>
      <c r="I160" s="12"/>
      <c r="J160" s="12" t="s">
        <v>57</v>
      </c>
      <c r="K160" s="12" t="b">
        <v>1</v>
      </c>
      <c r="L160" s="12">
        <v>4</v>
      </c>
      <c r="M160" s="8">
        <v>2018</v>
      </c>
      <c r="N160" s="9">
        <v>0</v>
      </c>
      <c r="O160" s="13">
        <v>41815</v>
      </c>
      <c r="P160" s="13">
        <v>41815</v>
      </c>
    </row>
    <row r="161" spans="1:16">
      <c r="A161" s="10">
        <v>2014</v>
      </c>
      <c r="B161" s="11" t="s">
        <v>483</v>
      </c>
      <c r="C161" s="11" t="s">
        <v>484</v>
      </c>
      <c r="D161" s="12">
        <v>1015042</v>
      </c>
      <c r="E161" s="12">
        <v>2</v>
      </c>
      <c r="F161" s="12"/>
      <c r="G161" s="12">
        <v>110</v>
      </c>
      <c r="H161" s="12" t="s">
        <v>56</v>
      </c>
      <c r="I161" s="12"/>
      <c r="J161" s="12" t="s">
        <v>57</v>
      </c>
      <c r="K161" s="12" t="b">
        <v>1</v>
      </c>
      <c r="L161" s="12">
        <v>6</v>
      </c>
      <c r="M161" s="8">
        <v>2020</v>
      </c>
      <c r="N161" s="9">
        <v>0</v>
      </c>
      <c r="O161" s="13">
        <v>41815</v>
      </c>
      <c r="P161" s="13">
        <v>41815</v>
      </c>
    </row>
    <row r="162" spans="1:16">
      <c r="A162" s="10">
        <v>2014</v>
      </c>
      <c r="B162" s="11" t="s">
        <v>483</v>
      </c>
      <c r="C162" s="11" t="s">
        <v>484</v>
      </c>
      <c r="D162" s="12">
        <v>1015042</v>
      </c>
      <c r="E162" s="12">
        <v>2</v>
      </c>
      <c r="F162" s="12"/>
      <c r="G162" s="12">
        <v>110</v>
      </c>
      <c r="H162" s="12" t="s">
        <v>56</v>
      </c>
      <c r="I162" s="12"/>
      <c r="J162" s="12" t="s">
        <v>57</v>
      </c>
      <c r="K162" s="12" t="b">
        <v>1</v>
      </c>
      <c r="L162" s="12">
        <v>8</v>
      </c>
      <c r="M162" s="8">
        <v>2022</v>
      </c>
      <c r="N162" s="9">
        <v>0</v>
      </c>
      <c r="O162" s="13">
        <v>41815</v>
      </c>
      <c r="P162" s="13">
        <v>41815</v>
      </c>
    </row>
    <row r="163" spans="1:16">
      <c r="A163" s="10">
        <v>2014</v>
      </c>
      <c r="B163" s="11" t="s">
        <v>483</v>
      </c>
      <c r="C163" s="11" t="s">
        <v>484</v>
      </c>
      <c r="D163" s="12">
        <v>1015042</v>
      </c>
      <c r="E163" s="12">
        <v>2</v>
      </c>
      <c r="F163" s="12"/>
      <c r="G163" s="12">
        <v>110</v>
      </c>
      <c r="H163" s="12" t="s">
        <v>56</v>
      </c>
      <c r="I163" s="12"/>
      <c r="J163" s="12" t="s">
        <v>57</v>
      </c>
      <c r="K163" s="12" t="b">
        <v>1</v>
      </c>
      <c r="L163" s="12">
        <v>7</v>
      </c>
      <c r="M163" s="8">
        <v>2021</v>
      </c>
      <c r="N163" s="9">
        <v>0</v>
      </c>
      <c r="O163" s="13">
        <v>41815</v>
      </c>
      <c r="P163" s="13">
        <v>41815</v>
      </c>
    </row>
    <row r="164" spans="1:16">
      <c r="A164" s="10">
        <v>2014</v>
      </c>
      <c r="B164" s="11" t="s">
        <v>483</v>
      </c>
      <c r="C164" s="11" t="s">
        <v>484</v>
      </c>
      <c r="D164" s="12">
        <v>1015042</v>
      </c>
      <c r="E164" s="12">
        <v>2</v>
      </c>
      <c r="F164" s="12"/>
      <c r="G164" s="12">
        <v>110</v>
      </c>
      <c r="H164" s="12" t="s">
        <v>56</v>
      </c>
      <c r="I164" s="12"/>
      <c r="J164" s="12" t="s">
        <v>57</v>
      </c>
      <c r="K164" s="12" t="b">
        <v>1</v>
      </c>
      <c r="L164" s="12">
        <v>0</v>
      </c>
      <c r="M164" s="8">
        <v>2014</v>
      </c>
      <c r="N164" s="9">
        <v>1826839</v>
      </c>
      <c r="O164" s="13">
        <v>41815</v>
      </c>
      <c r="P164" s="13">
        <v>41815</v>
      </c>
    </row>
    <row r="165" spans="1:16">
      <c r="A165" s="10">
        <v>2014</v>
      </c>
      <c r="B165" s="11" t="s">
        <v>483</v>
      </c>
      <c r="C165" s="11" t="s">
        <v>484</v>
      </c>
      <c r="D165" s="12">
        <v>1015042</v>
      </c>
      <c r="E165" s="12">
        <v>2</v>
      </c>
      <c r="F165" s="12"/>
      <c r="G165" s="12">
        <v>110</v>
      </c>
      <c r="H165" s="12" t="s">
        <v>56</v>
      </c>
      <c r="I165" s="12"/>
      <c r="J165" s="12" t="s">
        <v>57</v>
      </c>
      <c r="K165" s="12" t="b">
        <v>1</v>
      </c>
      <c r="L165" s="12">
        <v>2</v>
      </c>
      <c r="M165" s="8">
        <v>2016</v>
      </c>
      <c r="N165" s="9">
        <v>0</v>
      </c>
      <c r="O165" s="13">
        <v>41815</v>
      </c>
      <c r="P165" s="13">
        <v>41815</v>
      </c>
    </row>
    <row r="166" spans="1:16">
      <c r="A166" s="10">
        <v>2014</v>
      </c>
      <c r="B166" s="11" t="s">
        <v>483</v>
      </c>
      <c r="C166" s="11" t="s">
        <v>484</v>
      </c>
      <c r="D166" s="12">
        <v>1015042</v>
      </c>
      <c r="E166" s="12">
        <v>2</v>
      </c>
      <c r="F166" s="12"/>
      <c r="G166" s="12">
        <v>767</v>
      </c>
      <c r="H166" s="12">
        <v>12.7</v>
      </c>
      <c r="I166" s="12"/>
      <c r="J166" s="12" t="s">
        <v>405</v>
      </c>
      <c r="K166" s="12" t="b">
        <v>1</v>
      </c>
      <c r="L166" s="12">
        <v>7</v>
      </c>
      <c r="M166" s="8">
        <v>2021</v>
      </c>
      <c r="N166" s="9">
        <v>0</v>
      </c>
      <c r="O166" s="13">
        <v>41815</v>
      </c>
      <c r="P166" s="13">
        <v>41815</v>
      </c>
    </row>
    <row r="167" spans="1:16">
      <c r="A167" s="10">
        <v>2014</v>
      </c>
      <c r="B167" s="11" t="s">
        <v>483</v>
      </c>
      <c r="C167" s="11" t="s">
        <v>484</v>
      </c>
      <c r="D167" s="12">
        <v>1015042</v>
      </c>
      <c r="E167" s="12">
        <v>2</v>
      </c>
      <c r="F167" s="12"/>
      <c r="G167" s="12">
        <v>767</v>
      </c>
      <c r="H167" s="12">
        <v>12.7</v>
      </c>
      <c r="I167" s="12"/>
      <c r="J167" s="12" t="s">
        <v>405</v>
      </c>
      <c r="K167" s="12" t="b">
        <v>1</v>
      </c>
      <c r="L167" s="12">
        <v>2</v>
      </c>
      <c r="M167" s="8">
        <v>2016</v>
      </c>
      <c r="N167" s="9">
        <v>0</v>
      </c>
      <c r="O167" s="13">
        <v>41815</v>
      </c>
      <c r="P167" s="13">
        <v>41815</v>
      </c>
    </row>
    <row r="168" spans="1:16">
      <c r="A168" s="10">
        <v>2014</v>
      </c>
      <c r="B168" s="11" t="s">
        <v>483</v>
      </c>
      <c r="C168" s="11" t="s">
        <v>484</v>
      </c>
      <c r="D168" s="12">
        <v>1015042</v>
      </c>
      <c r="E168" s="12">
        <v>2</v>
      </c>
      <c r="F168" s="12"/>
      <c r="G168" s="12">
        <v>767</v>
      </c>
      <c r="H168" s="12">
        <v>12.7</v>
      </c>
      <c r="I168" s="12"/>
      <c r="J168" s="12" t="s">
        <v>405</v>
      </c>
      <c r="K168" s="12" t="b">
        <v>1</v>
      </c>
      <c r="L168" s="12">
        <v>4</v>
      </c>
      <c r="M168" s="8">
        <v>2018</v>
      </c>
      <c r="N168" s="9">
        <v>0</v>
      </c>
      <c r="O168" s="13">
        <v>41815</v>
      </c>
      <c r="P168" s="13">
        <v>41815</v>
      </c>
    </row>
    <row r="169" spans="1:16">
      <c r="A169" s="10">
        <v>2014</v>
      </c>
      <c r="B169" s="11" t="s">
        <v>483</v>
      </c>
      <c r="C169" s="11" t="s">
        <v>484</v>
      </c>
      <c r="D169" s="12">
        <v>1015042</v>
      </c>
      <c r="E169" s="12">
        <v>2</v>
      </c>
      <c r="F169" s="12"/>
      <c r="G169" s="12">
        <v>767</v>
      </c>
      <c r="H169" s="12">
        <v>12.7</v>
      </c>
      <c r="I169" s="12"/>
      <c r="J169" s="12" t="s">
        <v>405</v>
      </c>
      <c r="K169" s="12" t="b">
        <v>1</v>
      </c>
      <c r="L169" s="12">
        <v>0</v>
      </c>
      <c r="M169" s="8">
        <v>2014</v>
      </c>
      <c r="N169" s="9">
        <v>0</v>
      </c>
      <c r="O169" s="13">
        <v>41815</v>
      </c>
      <c r="P169" s="13">
        <v>41815</v>
      </c>
    </row>
    <row r="170" spans="1:16">
      <c r="A170" s="10">
        <v>2014</v>
      </c>
      <c r="B170" s="11" t="s">
        <v>483</v>
      </c>
      <c r="C170" s="11" t="s">
        <v>484</v>
      </c>
      <c r="D170" s="12">
        <v>1015042</v>
      </c>
      <c r="E170" s="12">
        <v>2</v>
      </c>
      <c r="F170" s="12"/>
      <c r="G170" s="12">
        <v>767</v>
      </c>
      <c r="H170" s="12">
        <v>12.7</v>
      </c>
      <c r="I170" s="12"/>
      <c r="J170" s="12" t="s">
        <v>405</v>
      </c>
      <c r="K170" s="12" t="b">
        <v>1</v>
      </c>
      <c r="L170" s="12">
        <v>8</v>
      </c>
      <c r="M170" s="8">
        <v>2022</v>
      </c>
      <c r="N170" s="9">
        <v>0</v>
      </c>
      <c r="O170" s="13">
        <v>41815</v>
      </c>
      <c r="P170" s="13">
        <v>41815</v>
      </c>
    </row>
    <row r="171" spans="1:16">
      <c r="A171" s="10">
        <v>2014</v>
      </c>
      <c r="B171" s="11" t="s">
        <v>483</v>
      </c>
      <c r="C171" s="11" t="s">
        <v>484</v>
      </c>
      <c r="D171" s="12">
        <v>1015042</v>
      </c>
      <c r="E171" s="12">
        <v>2</v>
      </c>
      <c r="F171" s="12"/>
      <c r="G171" s="12">
        <v>260</v>
      </c>
      <c r="H171" s="12">
        <v>4.3</v>
      </c>
      <c r="I171" s="12"/>
      <c r="J171" s="12" t="s">
        <v>72</v>
      </c>
      <c r="K171" s="12" t="b">
        <v>1</v>
      </c>
      <c r="L171" s="12">
        <v>4</v>
      </c>
      <c r="M171" s="8">
        <v>2018</v>
      </c>
      <c r="N171" s="9">
        <v>0</v>
      </c>
      <c r="O171" s="13">
        <v>41815</v>
      </c>
      <c r="P171" s="13">
        <v>41815</v>
      </c>
    </row>
    <row r="172" spans="1:16">
      <c r="A172" s="10">
        <v>2014</v>
      </c>
      <c r="B172" s="11" t="s">
        <v>483</v>
      </c>
      <c r="C172" s="11" t="s">
        <v>484</v>
      </c>
      <c r="D172" s="12">
        <v>1015042</v>
      </c>
      <c r="E172" s="12">
        <v>2</v>
      </c>
      <c r="F172" s="12"/>
      <c r="G172" s="12">
        <v>260</v>
      </c>
      <c r="H172" s="12">
        <v>4.3</v>
      </c>
      <c r="I172" s="12"/>
      <c r="J172" s="12" t="s">
        <v>72</v>
      </c>
      <c r="K172" s="12" t="b">
        <v>1</v>
      </c>
      <c r="L172" s="12">
        <v>7</v>
      </c>
      <c r="M172" s="8">
        <v>2021</v>
      </c>
      <c r="N172" s="9">
        <v>0</v>
      </c>
      <c r="O172" s="13">
        <v>41815</v>
      </c>
      <c r="P172" s="13">
        <v>41815</v>
      </c>
    </row>
    <row r="173" spans="1:16">
      <c r="A173" s="10">
        <v>2014</v>
      </c>
      <c r="B173" s="11" t="s">
        <v>483</v>
      </c>
      <c r="C173" s="11" t="s">
        <v>484</v>
      </c>
      <c r="D173" s="12">
        <v>1015042</v>
      </c>
      <c r="E173" s="12">
        <v>2</v>
      </c>
      <c r="F173" s="12"/>
      <c r="G173" s="12">
        <v>767</v>
      </c>
      <c r="H173" s="12">
        <v>12.7</v>
      </c>
      <c r="I173" s="12"/>
      <c r="J173" s="12" t="s">
        <v>405</v>
      </c>
      <c r="K173" s="12" t="b">
        <v>1</v>
      </c>
      <c r="L173" s="12">
        <v>1</v>
      </c>
      <c r="M173" s="8">
        <v>2015</v>
      </c>
      <c r="N173" s="9">
        <v>0</v>
      </c>
      <c r="O173" s="13">
        <v>41815</v>
      </c>
      <c r="P173" s="13">
        <v>41815</v>
      </c>
    </row>
    <row r="174" spans="1:16">
      <c r="A174" s="10">
        <v>2014</v>
      </c>
      <c r="B174" s="11" t="s">
        <v>483</v>
      </c>
      <c r="C174" s="11" t="s">
        <v>484</v>
      </c>
      <c r="D174" s="12">
        <v>1015042</v>
      </c>
      <c r="E174" s="12">
        <v>2</v>
      </c>
      <c r="F174" s="12"/>
      <c r="G174" s="12">
        <v>767</v>
      </c>
      <c r="H174" s="12">
        <v>12.7</v>
      </c>
      <c r="I174" s="12"/>
      <c r="J174" s="12" t="s">
        <v>405</v>
      </c>
      <c r="K174" s="12" t="b">
        <v>1</v>
      </c>
      <c r="L174" s="12">
        <v>3</v>
      </c>
      <c r="M174" s="8">
        <v>2017</v>
      </c>
      <c r="N174" s="9">
        <v>0</v>
      </c>
      <c r="O174" s="13">
        <v>41815</v>
      </c>
      <c r="P174" s="13">
        <v>41815</v>
      </c>
    </row>
    <row r="175" spans="1:16">
      <c r="A175" s="10">
        <v>2014</v>
      </c>
      <c r="B175" s="11" t="s">
        <v>483</v>
      </c>
      <c r="C175" s="11" t="s">
        <v>484</v>
      </c>
      <c r="D175" s="12">
        <v>1015042</v>
      </c>
      <c r="E175" s="12">
        <v>2</v>
      </c>
      <c r="F175" s="12"/>
      <c r="G175" s="12">
        <v>767</v>
      </c>
      <c r="H175" s="12">
        <v>12.7</v>
      </c>
      <c r="I175" s="12"/>
      <c r="J175" s="12" t="s">
        <v>405</v>
      </c>
      <c r="K175" s="12" t="b">
        <v>1</v>
      </c>
      <c r="L175" s="12">
        <v>6</v>
      </c>
      <c r="M175" s="8">
        <v>2020</v>
      </c>
      <c r="N175" s="9">
        <v>0</v>
      </c>
      <c r="O175" s="13">
        <v>41815</v>
      </c>
      <c r="P175" s="13">
        <v>41815</v>
      </c>
    </row>
    <row r="176" spans="1:16">
      <c r="A176" s="10">
        <v>2014</v>
      </c>
      <c r="B176" s="11" t="s">
        <v>483</v>
      </c>
      <c r="C176" s="11" t="s">
        <v>484</v>
      </c>
      <c r="D176" s="12">
        <v>1015042</v>
      </c>
      <c r="E176" s="12">
        <v>2</v>
      </c>
      <c r="F176" s="12"/>
      <c r="G176" s="12">
        <v>767</v>
      </c>
      <c r="H176" s="12">
        <v>12.7</v>
      </c>
      <c r="I176" s="12"/>
      <c r="J176" s="12" t="s">
        <v>405</v>
      </c>
      <c r="K176" s="12" t="b">
        <v>1</v>
      </c>
      <c r="L176" s="12">
        <v>5</v>
      </c>
      <c r="M176" s="8">
        <v>2019</v>
      </c>
      <c r="N176" s="9">
        <v>0</v>
      </c>
      <c r="O176" s="13">
        <v>41815</v>
      </c>
      <c r="P176" s="13">
        <v>41815</v>
      </c>
    </row>
    <row r="177" spans="1:16">
      <c r="A177" s="10">
        <v>2014</v>
      </c>
      <c r="B177" s="11" t="s">
        <v>483</v>
      </c>
      <c r="C177" s="11" t="s">
        <v>484</v>
      </c>
      <c r="D177" s="12">
        <v>1015042</v>
      </c>
      <c r="E177" s="12">
        <v>2</v>
      </c>
      <c r="F177" s="12"/>
      <c r="G177" s="12">
        <v>350</v>
      </c>
      <c r="H177" s="12">
        <v>6</v>
      </c>
      <c r="I177" s="12"/>
      <c r="J177" s="12" t="s">
        <v>25</v>
      </c>
      <c r="K177" s="12" t="b">
        <v>1</v>
      </c>
      <c r="L177" s="12">
        <v>5</v>
      </c>
      <c r="M177" s="8">
        <v>2019</v>
      </c>
      <c r="N177" s="9">
        <v>388333.15</v>
      </c>
      <c r="O177" s="13">
        <v>41815</v>
      </c>
      <c r="P177" s="13">
        <v>41815</v>
      </c>
    </row>
    <row r="178" spans="1:16">
      <c r="A178" s="10">
        <v>2014</v>
      </c>
      <c r="B178" s="11" t="s">
        <v>483</v>
      </c>
      <c r="C178" s="11" t="s">
        <v>484</v>
      </c>
      <c r="D178" s="12">
        <v>1015042</v>
      </c>
      <c r="E178" s="12">
        <v>2</v>
      </c>
      <c r="F178" s="12"/>
      <c r="G178" s="12">
        <v>350</v>
      </c>
      <c r="H178" s="12">
        <v>6</v>
      </c>
      <c r="I178" s="12"/>
      <c r="J178" s="12" t="s">
        <v>25</v>
      </c>
      <c r="K178" s="12" t="b">
        <v>1</v>
      </c>
      <c r="L178" s="12">
        <v>2</v>
      </c>
      <c r="M178" s="8">
        <v>2016</v>
      </c>
      <c r="N178" s="9">
        <v>1488333.15</v>
      </c>
      <c r="O178" s="13">
        <v>41815</v>
      </c>
      <c r="P178" s="13">
        <v>41815</v>
      </c>
    </row>
    <row r="179" spans="1:16">
      <c r="A179" s="10">
        <v>2014</v>
      </c>
      <c r="B179" s="11" t="s">
        <v>483</v>
      </c>
      <c r="C179" s="11" t="s">
        <v>484</v>
      </c>
      <c r="D179" s="12">
        <v>1015042</v>
      </c>
      <c r="E179" s="12">
        <v>2</v>
      </c>
      <c r="F179" s="12"/>
      <c r="G179" s="12">
        <v>350</v>
      </c>
      <c r="H179" s="12">
        <v>6</v>
      </c>
      <c r="I179" s="12"/>
      <c r="J179" s="12" t="s">
        <v>25</v>
      </c>
      <c r="K179" s="12" t="b">
        <v>1</v>
      </c>
      <c r="L179" s="12">
        <v>0</v>
      </c>
      <c r="M179" s="8">
        <v>2014</v>
      </c>
      <c r="N179" s="9">
        <v>2544482.15</v>
      </c>
      <c r="O179" s="13">
        <v>41815</v>
      </c>
      <c r="P179" s="13">
        <v>41815</v>
      </c>
    </row>
    <row r="180" spans="1:16">
      <c r="A180" s="10">
        <v>2014</v>
      </c>
      <c r="B180" s="11" t="s">
        <v>483</v>
      </c>
      <c r="C180" s="11" t="s">
        <v>484</v>
      </c>
      <c r="D180" s="12">
        <v>1015042</v>
      </c>
      <c r="E180" s="12">
        <v>2</v>
      </c>
      <c r="F180" s="12"/>
      <c r="G180" s="12">
        <v>350</v>
      </c>
      <c r="H180" s="12">
        <v>6</v>
      </c>
      <c r="I180" s="12"/>
      <c r="J180" s="12" t="s">
        <v>25</v>
      </c>
      <c r="K180" s="12" t="b">
        <v>1</v>
      </c>
      <c r="L180" s="12">
        <v>8</v>
      </c>
      <c r="M180" s="8">
        <v>2022</v>
      </c>
      <c r="N180" s="9">
        <v>0</v>
      </c>
      <c r="O180" s="13">
        <v>41815</v>
      </c>
      <c r="P180" s="13">
        <v>41815</v>
      </c>
    </row>
    <row r="181" spans="1:16">
      <c r="A181" s="10">
        <v>2014</v>
      </c>
      <c r="B181" s="11" t="s">
        <v>483</v>
      </c>
      <c r="C181" s="11" t="s">
        <v>484</v>
      </c>
      <c r="D181" s="12">
        <v>1015042</v>
      </c>
      <c r="E181" s="12">
        <v>2</v>
      </c>
      <c r="F181" s="12"/>
      <c r="G181" s="12">
        <v>350</v>
      </c>
      <c r="H181" s="12">
        <v>6</v>
      </c>
      <c r="I181" s="12"/>
      <c r="J181" s="12" t="s">
        <v>25</v>
      </c>
      <c r="K181" s="12" t="b">
        <v>1</v>
      </c>
      <c r="L181" s="12">
        <v>6</v>
      </c>
      <c r="M181" s="8">
        <v>2020</v>
      </c>
      <c r="N181" s="9">
        <v>138333.15</v>
      </c>
      <c r="O181" s="13">
        <v>41815</v>
      </c>
      <c r="P181" s="13">
        <v>41815</v>
      </c>
    </row>
    <row r="182" spans="1:16">
      <c r="A182" s="10">
        <v>2014</v>
      </c>
      <c r="B182" s="11" t="s">
        <v>483</v>
      </c>
      <c r="C182" s="11" t="s">
        <v>484</v>
      </c>
      <c r="D182" s="12">
        <v>1015042</v>
      </c>
      <c r="E182" s="12">
        <v>2</v>
      </c>
      <c r="F182" s="12"/>
      <c r="G182" s="12">
        <v>350</v>
      </c>
      <c r="H182" s="12">
        <v>6</v>
      </c>
      <c r="I182" s="12"/>
      <c r="J182" s="12" t="s">
        <v>25</v>
      </c>
      <c r="K182" s="12" t="b">
        <v>1</v>
      </c>
      <c r="L182" s="12">
        <v>1</v>
      </c>
      <c r="M182" s="8">
        <v>2015</v>
      </c>
      <c r="N182" s="9">
        <v>2006790.15</v>
      </c>
      <c r="O182" s="13">
        <v>41815</v>
      </c>
      <c r="P182" s="13">
        <v>41815</v>
      </c>
    </row>
    <row r="183" spans="1:16">
      <c r="A183" s="10">
        <v>2014</v>
      </c>
      <c r="B183" s="11" t="s">
        <v>483</v>
      </c>
      <c r="C183" s="11" t="s">
        <v>484</v>
      </c>
      <c r="D183" s="12">
        <v>1015042</v>
      </c>
      <c r="E183" s="12">
        <v>2</v>
      </c>
      <c r="F183" s="12"/>
      <c r="G183" s="12">
        <v>350</v>
      </c>
      <c r="H183" s="12">
        <v>6</v>
      </c>
      <c r="I183" s="12"/>
      <c r="J183" s="12" t="s">
        <v>25</v>
      </c>
      <c r="K183" s="12" t="b">
        <v>1</v>
      </c>
      <c r="L183" s="12">
        <v>3</v>
      </c>
      <c r="M183" s="8">
        <v>2017</v>
      </c>
      <c r="N183" s="9">
        <v>1038333.15</v>
      </c>
      <c r="O183" s="13">
        <v>41815</v>
      </c>
      <c r="P183" s="13">
        <v>41815</v>
      </c>
    </row>
    <row r="184" spans="1:16">
      <c r="A184" s="10">
        <v>2014</v>
      </c>
      <c r="B184" s="11" t="s">
        <v>483</v>
      </c>
      <c r="C184" s="11" t="s">
        <v>484</v>
      </c>
      <c r="D184" s="12">
        <v>1015042</v>
      </c>
      <c r="E184" s="12">
        <v>2</v>
      </c>
      <c r="F184" s="12"/>
      <c r="G184" s="12">
        <v>350</v>
      </c>
      <c r="H184" s="12">
        <v>6</v>
      </c>
      <c r="I184" s="12"/>
      <c r="J184" s="12" t="s">
        <v>25</v>
      </c>
      <c r="K184" s="12" t="b">
        <v>1</v>
      </c>
      <c r="L184" s="12">
        <v>4</v>
      </c>
      <c r="M184" s="8">
        <v>2018</v>
      </c>
      <c r="N184" s="9">
        <v>688333.15</v>
      </c>
      <c r="O184" s="13">
        <v>41815</v>
      </c>
      <c r="P184" s="13">
        <v>41815</v>
      </c>
    </row>
    <row r="185" spans="1:16">
      <c r="A185" s="10">
        <v>2014</v>
      </c>
      <c r="B185" s="11" t="s">
        <v>483</v>
      </c>
      <c r="C185" s="11" t="s">
        <v>484</v>
      </c>
      <c r="D185" s="12">
        <v>1015042</v>
      </c>
      <c r="E185" s="12">
        <v>2</v>
      </c>
      <c r="F185" s="12"/>
      <c r="G185" s="12">
        <v>350</v>
      </c>
      <c r="H185" s="12">
        <v>6</v>
      </c>
      <c r="I185" s="12"/>
      <c r="J185" s="12" t="s">
        <v>25</v>
      </c>
      <c r="K185" s="12" t="b">
        <v>1</v>
      </c>
      <c r="L185" s="12">
        <v>7</v>
      </c>
      <c r="M185" s="8">
        <v>2021</v>
      </c>
      <c r="N185" s="9">
        <v>38333.15</v>
      </c>
      <c r="O185" s="13">
        <v>41815</v>
      </c>
      <c r="P185" s="13">
        <v>41815</v>
      </c>
    </row>
    <row r="186" spans="1:16">
      <c r="A186" s="10">
        <v>2014</v>
      </c>
      <c r="B186" s="11" t="s">
        <v>483</v>
      </c>
      <c r="C186" s="11" t="s">
        <v>484</v>
      </c>
      <c r="D186" s="12">
        <v>1015042</v>
      </c>
      <c r="E186" s="12">
        <v>2</v>
      </c>
      <c r="F186" s="12"/>
      <c r="G186" s="12">
        <v>170</v>
      </c>
      <c r="H186" s="12" t="s">
        <v>63</v>
      </c>
      <c r="I186" s="12"/>
      <c r="J186" s="12" t="s">
        <v>360</v>
      </c>
      <c r="K186" s="12" t="b">
        <v>1</v>
      </c>
      <c r="L186" s="12">
        <v>1</v>
      </c>
      <c r="M186" s="8">
        <v>2015</v>
      </c>
      <c r="N186" s="9">
        <v>75000</v>
      </c>
      <c r="O186" s="13">
        <v>41815</v>
      </c>
      <c r="P186" s="13">
        <v>41815</v>
      </c>
    </row>
    <row r="187" spans="1:16">
      <c r="A187" s="10">
        <v>2014</v>
      </c>
      <c r="B187" s="11" t="s">
        <v>483</v>
      </c>
      <c r="C187" s="11" t="s">
        <v>484</v>
      </c>
      <c r="D187" s="12">
        <v>1015042</v>
      </c>
      <c r="E187" s="12">
        <v>2</v>
      </c>
      <c r="F187" s="12"/>
      <c r="G187" s="12">
        <v>170</v>
      </c>
      <c r="H187" s="12" t="s">
        <v>63</v>
      </c>
      <c r="I187" s="12"/>
      <c r="J187" s="12" t="s">
        <v>360</v>
      </c>
      <c r="K187" s="12" t="b">
        <v>1</v>
      </c>
      <c r="L187" s="12">
        <v>3</v>
      </c>
      <c r="M187" s="8">
        <v>2017</v>
      </c>
      <c r="N187" s="9">
        <v>50000</v>
      </c>
      <c r="O187" s="13">
        <v>41815</v>
      </c>
      <c r="P187" s="13">
        <v>41815</v>
      </c>
    </row>
    <row r="188" spans="1:16">
      <c r="A188" s="10">
        <v>2014</v>
      </c>
      <c r="B188" s="11" t="s">
        <v>483</v>
      </c>
      <c r="C188" s="11" t="s">
        <v>484</v>
      </c>
      <c r="D188" s="12">
        <v>1015042</v>
      </c>
      <c r="E188" s="12">
        <v>2</v>
      </c>
      <c r="F188" s="12"/>
      <c r="G188" s="12">
        <v>170</v>
      </c>
      <c r="H188" s="12" t="s">
        <v>63</v>
      </c>
      <c r="I188" s="12"/>
      <c r="J188" s="12" t="s">
        <v>360</v>
      </c>
      <c r="K188" s="12" t="b">
        <v>1</v>
      </c>
      <c r="L188" s="12">
        <v>4</v>
      </c>
      <c r="M188" s="8">
        <v>2018</v>
      </c>
      <c r="N188" s="9">
        <v>43000</v>
      </c>
      <c r="O188" s="13">
        <v>41815</v>
      </c>
      <c r="P188" s="13">
        <v>41815</v>
      </c>
    </row>
    <row r="189" spans="1:16">
      <c r="A189" s="10">
        <v>2014</v>
      </c>
      <c r="B189" s="11" t="s">
        <v>483</v>
      </c>
      <c r="C189" s="11" t="s">
        <v>484</v>
      </c>
      <c r="D189" s="12">
        <v>1015042</v>
      </c>
      <c r="E189" s="12">
        <v>2</v>
      </c>
      <c r="F189" s="12"/>
      <c r="G189" s="12">
        <v>170</v>
      </c>
      <c r="H189" s="12" t="s">
        <v>63</v>
      </c>
      <c r="I189" s="12"/>
      <c r="J189" s="12" t="s">
        <v>360</v>
      </c>
      <c r="K189" s="12" t="b">
        <v>1</v>
      </c>
      <c r="L189" s="12">
        <v>8</v>
      </c>
      <c r="M189" s="8">
        <v>2022</v>
      </c>
      <c r="N189" s="9">
        <v>2000</v>
      </c>
      <c r="O189" s="13">
        <v>41815</v>
      </c>
      <c r="P189" s="13">
        <v>41815</v>
      </c>
    </row>
    <row r="190" spans="1:16">
      <c r="A190" s="10">
        <v>2014</v>
      </c>
      <c r="B190" s="11" t="s">
        <v>483</v>
      </c>
      <c r="C190" s="11" t="s">
        <v>484</v>
      </c>
      <c r="D190" s="12">
        <v>1015042</v>
      </c>
      <c r="E190" s="12">
        <v>2</v>
      </c>
      <c r="F190" s="12"/>
      <c r="G190" s="12">
        <v>170</v>
      </c>
      <c r="H190" s="12" t="s">
        <v>63</v>
      </c>
      <c r="I190" s="12"/>
      <c r="J190" s="12" t="s">
        <v>360</v>
      </c>
      <c r="K190" s="12" t="b">
        <v>1</v>
      </c>
      <c r="L190" s="12">
        <v>5</v>
      </c>
      <c r="M190" s="8">
        <v>2019</v>
      </c>
      <c r="N190" s="9">
        <v>30000</v>
      </c>
      <c r="O190" s="13">
        <v>41815</v>
      </c>
      <c r="P190" s="13">
        <v>41815</v>
      </c>
    </row>
    <row r="191" spans="1:16">
      <c r="A191" s="10">
        <v>2014</v>
      </c>
      <c r="B191" s="11" t="s">
        <v>483</v>
      </c>
      <c r="C191" s="11" t="s">
        <v>484</v>
      </c>
      <c r="D191" s="12">
        <v>1015042</v>
      </c>
      <c r="E191" s="12">
        <v>2</v>
      </c>
      <c r="F191" s="12"/>
      <c r="G191" s="12">
        <v>170</v>
      </c>
      <c r="H191" s="12" t="s">
        <v>63</v>
      </c>
      <c r="I191" s="12"/>
      <c r="J191" s="12" t="s">
        <v>360</v>
      </c>
      <c r="K191" s="12" t="b">
        <v>1</v>
      </c>
      <c r="L191" s="12">
        <v>7</v>
      </c>
      <c r="M191" s="8">
        <v>2021</v>
      </c>
      <c r="N191" s="9">
        <v>10000</v>
      </c>
      <c r="O191" s="13">
        <v>41815</v>
      </c>
      <c r="P191" s="13">
        <v>41815</v>
      </c>
    </row>
    <row r="192" spans="1:16">
      <c r="A192" s="10">
        <v>2014</v>
      </c>
      <c r="B192" s="11" t="s">
        <v>483</v>
      </c>
      <c r="C192" s="11" t="s">
        <v>484</v>
      </c>
      <c r="D192" s="12">
        <v>1015042</v>
      </c>
      <c r="E192" s="12">
        <v>2</v>
      </c>
      <c r="F192" s="12"/>
      <c r="G192" s="12">
        <v>170</v>
      </c>
      <c r="H192" s="12" t="s">
        <v>63</v>
      </c>
      <c r="I192" s="12"/>
      <c r="J192" s="12" t="s">
        <v>360</v>
      </c>
      <c r="K192" s="12" t="b">
        <v>1</v>
      </c>
      <c r="L192" s="12">
        <v>2</v>
      </c>
      <c r="M192" s="8">
        <v>2016</v>
      </c>
      <c r="N192" s="9">
        <v>55000</v>
      </c>
      <c r="O192" s="13">
        <v>41815</v>
      </c>
      <c r="P192" s="13">
        <v>41815</v>
      </c>
    </row>
    <row r="193" spans="1:16">
      <c r="A193" s="10">
        <v>2014</v>
      </c>
      <c r="B193" s="11" t="s">
        <v>483</v>
      </c>
      <c r="C193" s="11" t="s">
        <v>484</v>
      </c>
      <c r="D193" s="12">
        <v>1015042</v>
      </c>
      <c r="E193" s="12">
        <v>2</v>
      </c>
      <c r="F193" s="12"/>
      <c r="G193" s="12">
        <v>170</v>
      </c>
      <c r="H193" s="12" t="s">
        <v>63</v>
      </c>
      <c r="I193" s="12"/>
      <c r="J193" s="12" t="s">
        <v>360</v>
      </c>
      <c r="K193" s="12" t="b">
        <v>1</v>
      </c>
      <c r="L193" s="12">
        <v>0</v>
      </c>
      <c r="M193" s="8">
        <v>2014</v>
      </c>
      <c r="N193" s="9">
        <v>75000</v>
      </c>
      <c r="O193" s="13">
        <v>41815</v>
      </c>
      <c r="P193" s="13">
        <v>41815</v>
      </c>
    </row>
    <row r="194" spans="1:16">
      <c r="A194" s="10">
        <v>2014</v>
      </c>
      <c r="B194" s="11" t="s">
        <v>483</v>
      </c>
      <c r="C194" s="11" t="s">
        <v>484</v>
      </c>
      <c r="D194" s="12">
        <v>1015042</v>
      </c>
      <c r="E194" s="12">
        <v>2</v>
      </c>
      <c r="F194" s="12"/>
      <c r="G194" s="12">
        <v>170</v>
      </c>
      <c r="H194" s="12" t="s">
        <v>63</v>
      </c>
      <c r="I194" s="12"/>
      <c r="J194" s="12" t="s">
        <v>360</v>
      </c>
      <c r="K194" s="12" t="b">
        <v>1</v>
      </c>
      <c r="L194" s="12">
        <v>6</v>
      </c>
      <c r="M194" s="8">
        <v>2020</v>
      </c>
      <c r="N194" s="9">
        <v>15000</v>
      </c>
      <c r="O194" s="13">
        <v>41815</v>
      </c>
      <c r="P194" s="13">
        <v>41815</v>
      </c>
    </row>
    <row r="195" spans="1:16">
      <c r="A195" s="10">
        <v>2014</v>
      </c>
      <c r="B195" s="11" t="s">
        <v>483</v>
      </c>
      <c r="C195" s="11" t="s">
        <v>484</v>
      </c>
      <c r="D195" s="12">
        <v>1015042</v>
      </c>
      <c r="E195" s="12">
        <v>2</v>
      </c>
      <c r="F195" s="12"/>
      <c r="G195" s="12">
        <v>270</v>
      </c>
      <c r="H195" s="12" t="s">
        <v>73</v>
      </c>
      <c r="I195" s="12"/>
      <c r="J195" s="12" t="s">
        <v>71</v>
      </c>
      <c r="K195" s="12" t="b">
        <v>1</v>
      </c>
      <c r="L195" s="12">
        <v>8</v>
      </c>
      <c r="M195" s="8">
        <v>2022</v>
      </c>
      <c r="N195" s="9">
        <v>0</v>
      </c>
      <c r="O195" s="13">
        <v>41815</v>
      </c>
      <c r="P195" s="13">
        <v>41815</v>
      </c>
    </row>
    <row r="196" spans="1:16">
      <c r="A196" s="10">
        <v>2014</v>
      </c>
      <c r="B196" s="11" t="s">
        <v>483</v>
      </c>
      <c r="C196" s="11" t="s">
        <v>484</v>
      </c>
      <c r="D196" s="12">
        <v>1015042</v>
      </c>
      <c r="E196" s="12">
        <v>2</v>
      </c>
      <c r="F196" s="12"/>
      <c r="G196" s="12">
        <v>270</v>
      </c>
      <c r="H196" s="12" t="s">
        <v>73</v>
      </c>
      <c r="I196" s="12"/>
      <c r="J196" s="12" t="s">
        <v>71</v>
      </c>
      <c r="K196" s="12" t="b">
        <v>1</v>
      </c>
      <c r="L196" s="12">
        <v>2</v>
      </c>
      <c r="M196" s="8">
        <v>2016</v>
      </c>
      <c r="N196" s="9">
        <v>0</v>
      </c>
      <c r="O196" s="13">
        <v>41815</v>
      </c>
      <c r="P196" s="13">
        <v>41815</v>
      </c>
    </row>
    <row r="197" spans="1:16">
      <c r="A197" s="10">
        <v>2014</v>
      </c>
      <c r="B197" s="11" t="s">
        <v>483</v>
      </c>
      <c r="C197" s="11" t="s">
        <v>484</v>
      </c>
      <c r="D197" s="12">
        <v>1015042</v>
      </c>
      <c r="E197" s="12">
        <v>2</v>
      </c>
      <c r="F197" s="12"/>
      <c r="G197" s="12">
        <v>270</v>
      </c>
      <c r="H197" s="12" t="s">
        <v>73</v>
      </c>
      <c r="I197" s="12"/>
      <c r="J197" s="12" t="s">
        <v>71</v>
      </c>
      <c r="K197" s="12" t="b">
        <v>1</v>
      </c>
      <c r="L197" s="12">
        <v>6</v>
      </c>
      <c r="M197" s="8">
        <v>2020</v>
      </c>
      <c r="N197" s="9">
        <v>0</v>
      </c>
      <c r="O197" s="13">
        <v>41815</v>
      </c>
      <c r="P197" s="13">
        <v>41815</v>
      </c>
    </row>
    <row r="198" spans="1:16">
      <c r="A198" s="10">
        <v>2014</v>
      </c>
      <c r="B198" s="11" t="s">
        <v>483</v>
      </c>
      <c r="C198" s="11" t="s">
        <v>484</v>
      </c>
      <c r="D198" s="12">
        <v>1015042</v>
      </c>
      <c r="E198" s="12">
        <v>2</v>
      </c>
      <c r="F198" s="12"/>
      <c r="G198" s="12">
        <v>270</v>
      </c>
      <c r="H198" s="12" t="s">
        <v>73</v>
      </c>
      <c r="I198" s="12"/>
      <c r="J198" s="12" t="s">
        <v>71</v>
      </c>
      <c r="K198" s="12" t="b">
        <v>1</v>
      </c>
      <c r="L198" s="12">
        <v>5</v>
      </c>
      <c r="M198" s="8">
        <v>2019</v>
      </c>
      <c r="N198" s="9">
        <v>0</v>
      </c>
      <c r="O198" s="13">
        <v>41815</v>
      </c>
      <c r="P198" s="13">
        <v>41815</v>
      </c>
    </row>
    <row r="199" spans="1:16">
      <c r="A199" s="10">
        <v>2014</v>
      </c>
      <c r="B199" s="11" t="s">
        <v>483</v>
      </c>
      <c r="C199" s="11" t="s">
        <v>484</v>
      </c>
      <c r="D199" s="12">
        <v>1015042</v>
      </c>
      <c r="E199" s="12">
        <v>2</v>
      </c>
      <c r="F199" s="12"/>
      <c r="G199" s="12">
        <v>270</v>
      </c>
      <c r="H199" s="12" t="s">
        <v>73</v>
      </c>
      <c r="I199" s="12"/>
      <c r="J199" s="12" t="s">
        <v>71</v>
      </c>
      <c r="K199" s="12" t="b">
        <v>1</v>
      </c>
      <c r="L199" s="12">
        <v>7</v>
      </c>
      <c r="M199" s="8">
        <v>2021</v>
      </c>
      <c r="N199" s="9">
        <v>0</v>
      </c>
      <c r="O199" s="13">
        <v>41815</v>
      </c>
      <c r="P199" s="13">
        <v>41815</v>
      </c>
    </row>
    <row r="200" spans="1:16">
      <c r="A200" s="10">
        <v>2014</v>
      </c>
      <c r="B200" s="11" t="s">
        <v>483</v>
      </c>
      <c r="C200" s="11" t="s">
        <v>484</v>
      </c>
      <c r="D200" s="12">
        <v>1015042</v>
      </c>
      <c r="E200" s="12">
        <v>2</v>
      </c>
      <c r="F200" s="12"/>
      <c r="G200" s="12">
        <v>270</v>
      </c>
      <c r="H200" s="12" t="s">
        <v>73</v>
      </c>
      <c r="I200" s="12"/>
      <c r="J200" s="12" t="s">
        <v>71</v>
      </c>
      <c r="K200" s="12" t="b">
        <v>1</v>
      </c>
      <c r="L200" s="12">
        <v>0</v>
      </c>
      <c r="M200" s="8">
        <v>2014</v>
      </c>
      <c r="N200" s="9">
        <v>657213</v>
      </c>
      <c r="O200" s="13">
        <v>41815</v>
      </c>
      <c r="P200" s="13">
        <v>41815</v>
      </c>
    </row>
    <row r="201" spans="1:16">
      <c r="A201" s="10">
        <v>2014</v>
      </c>
      <c r="B201" s="11" t="s">
        <v>483</v>
      </c>
      <c r="C201" s="11" t="s">
        <v>484</v>
      </c>
      <c r="D201" s="12">
        <v>1015042</v>
      </c>
      <c r="E201" s="12">
        <v>2</v>
      </c>
      <c r="F201" s="12"/>
      <c r="G201" s="12">
        <v>270</v>
      </c>
      <c r="H201" s="12" t="s">
        <v>73</v>
      </c>
      <c r="I201" s="12"/>
      <c r="J201" s="12" t="s">
        <v>71</v>
      </c>
      <c r="K201" s="12" t="b">
        <v>1</v>
      </c>
      <c r="L201" s="12">
        <v>4</v>
      </c>
      <c r="M201" s="8">
        <v>2018</v>
      </c>
      <c r="N201" s="9">
        <v>0</v>
      </c>
      <c r="O201" s="13">
        <v>41815</v>
      </c>
      <c r="P201" s="13">
        <v>41815</v>
      </c>
    </row>
    <row r="202" spans="1:16">
      <c r="A202" s="10">
        <v>2014</v>
      </c>
      <c r="B202" s="11" t="s">
        <v>483</v>
      </c>
      <c r="C202" s="11" t="s">
        <v>484</v>
      </c>
      <c r="D202" s="12">
        <v>1015042</v>
      </c>
      <c r="E202" s="12">
        <v>2</v>
      </c>
      <c r="F202" s="12"/>
      <c r="G202" s="12">
        <v>270</v>
      </c>
      <c r="H202" s="12" t="s">
        <v>73</v>
      </c>
      <c r="I202" s="12"/>
      <c r="J202" s="12" t="s">
        <v>71</v>
      </c>
      <c r="K202" s="12" t="b">
        <v>1</v>
      </c>
      <c r="L202" s="12">
        <v>1</v>
      </c>
      <c r="M202" s="8">
        <v>2015</v>
      </c>
      <c r="N202" s="9">
        <v>0</v>
      </c>
      <c r="O202" s="13">
        <v>41815</v>
      </c>
      <c r="P202" s="13">
        <v>41815</v>
      </c>
    </row>
    <row r="203" spans="1:16">
      <c r="A203" s="10">
        <v>2014</v>
      </c>
      <c r="B203" s="11" t="s">
        <v>483</v>
      </c>
      <c r="C203" s="11" t="s">
        <v>484</v>
      </c>
      <c r="D203" s="12">
        <v>1015042</v>
      </c>
      <c r="E203" s="12">
        <v>2</v>
      </c>
      <c r="F203" s="12"/>
      <c r="G203" s="12">
        <v>270</v>
      </c>
      <c r="H203" s="12" t="s">
        <v>73</v>
      </c>
      <c r="I203" s="12"/>
      <c r="J203" s="12" t="s">
        <v>71</v>
      </c>
      <c r="K203" s="12" t="b">
        <v>1</v>
      </c>
      <c r="L203" s="12">
        <v>3</v>
      </c>
      <c r="M203" s="8">
        <v>2017</v>
      </c>
      <c r="N203" s="9">
        <v>0</v>
      </c>
      <c r="O203" s="13">
        <v>41815</v>
      </c>
      <c r="P203" s="13">
        <v>41815</v>
      </c>
    </row>
    <row r="204" spans="1:16">
      <c r="A204" s="10">
        <v>2014</v>
      </c>
      <c r="B204" s="11" t="s">
        <v>483</v>
      </c>
      <c r="C204" s="11" t="s">
        <v>484</v>
      </c>
      <c r="D204" s="12">
        <v>1015042</v>
      </c>
      <c r="E204" s="12">
        <v>2</v>
      </c>
      <c r="F204" s="12"/>
      <c r="G204" s="12">
        <v>260</v>
      </c>
      <c r="H204" s="12">
        <v>4.3</v>
      </c>
      <c r="I204" s="12"/>
      <c r="J204" s="12" t="s">
        <v>72</v>
      </c>
      <c r="K204" s="12" t="b">
        <v>1</v>
      </c>
      <c r="L204" s="12">
        <v>2</v>
      </c>
      <c r="M204" s="8">
        <v>2016</v>
      </c>
      <c r="N204" s="9">
        <v>0</v>
      </c>
      <c r="O204" s="13">
        <v>41815</v>
      </c>
      <c r="P204" s="13">
        <v>41815</v>
      </c>
    </row>
    <row r="205" spans="1:16">
      <c r="A205" s="10">
        <v>2014</v>
      </c>
      <c r="B205" s="11" t="s">
        <v>483</v>
      </c>
      <c r="C205" s="11" t="s">
        <v>484</v>
      </c>
      <c r="D205" s="12">
        <v>1015042</v>
      </c>
      <c r="E205" s="12">
        <v>2</v>
      </c>
      <c r="F205" s="12"/>
      <c r="G205" s="12">
        <v>260</v>
      </c>
      <c r="H205" s="12">
        <v>4.3</v>
      </c>
      <c r="I205" s="12"/>
      <c r="J205" s="12" t="s">
        <v>72</v>
      </c>
      <c r="K205" s="12" t="b">
        <v>1</v>
      </c>
      <c r="L205" s="12">
        <v>1</v>
      </c>
      <c r="M205" s="8">
        <v>2015</v>
      </c>
      <c r="N205" s="9">
        <v>0</v>
      </c>
      <c r="O205" s="13">
        <v>41815</v>
      </c>
      <c r="P205" s="13">
        <v>41815</v>
      </c>
    </row>
    <row r="206" spans="1:16">
      <c r="A206" s="10">
        <v>2014</v>
      </c>
      <c r="B206" s="11" t="s">
        <v>483</v>
      </c>
      <c r="C206" s="11" t="s">
        <v>484</v>
      </c>
      <c r="D206" s="12">
        <v>1015042</v>
      </c>
      <c r="E206" s="12">
        <v>2</v>
      </c>
      <c r="F206" s="12"/>
      <c r="G206" s="12">
        <v>260</v>
      </c>
      <c r="H206" s="12">
        <v>4.3</v>
      </c>
      <c r="I206" s="12"/>
      <c r="J206" s="12" t="s">
        <v>72</v>
      </c>
      <c r="K206" s="12" t="b">
        <v>1</v>
      </c>
      <c r="L206" s="12">
        <v>5</v>
      </c>
      <c r="M206" s="8">
        <v>2019</v>
      </c>
      <c r="N206" s="9">
        <v>0</v>
      </c>
      <c r="O206" s="13">
        <v>41815</v>
      </c>
      <c r="P206" s="13">
        <v>41815</v>
      </c>
    </row>
    <row r="207" spans="1:16">
      <c r="A207" s="10">
        <v>2014</v>
      </c>
      <c r="B207" s="11" t="s">
        <v>483</v>
      </c>
      <c r="C207" s="11" t="s">
        <v>484</v>
      </c>
      <c r="D207" s="12">
        <v>1015042</v>
      </c>
      <c r="E207" s="12">
        <v>2</v>
      </c>
      <c r="F207" s="12"/>
      <c r="G207" s="12">
        <v>260</v>
      </c>
      <c r="H207" s="12">
        <v>4.3</v>
      </c>
      <c r="I207" s="12"/>
      <c r="J207" s="12" t="s">
        <v>72</v>
      </c>
      <c r="K207" s="12" t="b">
        <v>1</v>
      </c>
      <c r="L207" s="12">
        <v>6</v>
      </c>
      <c r="M207" s="8">
        <v>2020</v>
      </c>
      <c r="N207" s="9">
        <v>0</v>
      </c>
      <c r="O207" s="13">
        <v>41815</v>
      </c>
      <c r="P207" s="13">
        <v>41815</v>
      </c>
    </row>
    <row r="208" spans="1:16">
      <c r="A208" s="10">
        <v>2014</v>
      </c>
      <c r="B208" s="11" t="s">
        <v>483</v>
      </c>
      <c r="C208" s="11" t="s">
        <v>484</v>
      </c>
      <c r="D208" s="12">
        <v>1015042</v>
      </c>
      <c r="E208" s="12">
        <v>2</v>
      </c>
      <c r="F208" s="12"/>
      <c r="G208" s="12">
        <v>260</v>
      </c>
      <c r="H208" s="12">
        <v>4.3</v>
      </c>
      <c r="I208" s="12"/>
      <c r="J208" s="12" t="s">
        <v>72</v>
      </c>
      <c r="K208" s="12" t="b">
        <v>1</v>
      </c>
      <c r="L208" s="12">
        <v>8</v>
      </c>
      <c r="M208" s="8">
        <v>2022</v>
      </c>
      <c r="N208" s="9">
        <v>0</v>
      </c>
      <c r="O208" s="13">
        <v>41815</v>
      </c>
      <c r="P208" s="13">
        <v>41815</v>
      </c>
    </row>
    <row r="209" spans="1:16">
      <c r="A209" s="10">
        <v>2014</v>
      </c>
      <c r="B209" s="11" t="s">
        <v>483</v>
      </c>
      <c r="C209" s="11" t="s">
        <v>484</v>
      </c>
      <c r="D209" s="12">
        <v>1015042</v>
      </c>
      <c r="E209" s="12">
        <v>2</v>
      </c>
      <c r="F209" s="12"/>
      <c r="G209" s="12">
        <v>260</v>
      </c>
      <c r="H209" s="12">
        <v>4.3</v>
      </c>
      <c r="I209" s="12"/>
      <c r="J209" s="12" t="s">
        <v>72</v>
      </c>
      <c r="K209" s="12" t="b">
        <v>1</v>
      </c>
      <c r="L209" s="12">
        <v>0</v>
      </c>
      <c r="M209" s="8">
        <v>2014</v>
      </c>
      <c r="N209" s="9">
        <v>869834</v>
      </c>
      <c r="O209" s="13">
        <v>41815</v>
      </c>
      <c r="P209" s="13">
        <v>41815</v>
      </c>
    </row>
    <row r="210" spans="1:16">
      <c r="A210" s="10">
        <v>2014</v>
      </c>
      <c r="B210" s="11" t="s">
        <v>483</v>
      </c>
      <c r="C210" s="11" t="s">
        <v>484</v>
      </c>
      <c r="D210" s="12">
        <v>1015042</v>
      </c>
      <c r="E210" s="12">
        <v>2</v>
      </c>
      <c r="F210" s="12"/>
      <c r="G210" s="12">
        <v>260</v>
      </c>
      <c r="H210" s="12">
        <v>4.3</v>
      </c>
      <c r="I210" s="12"/>
      <c r="J210" s="12" t="s">
        <v>72</v>
      </c>
      <c r="K210" s="12" t="b">
        <v>1</v>
      </c>
      <c r="L210" s="12">
        <v>3</v>
      </c>
      <c r="M210" s="8">
        <v>2017</v>
      </c>
      <c r="N210" s="9">
        <v>0</v>
      </c>
      <c r="O210" s="13">
        <v>41815</v>
      </c>
      <c r="P210" s="13">
        <v>41815</v>
      </c>
    </row>
    <row r="211" spans="1:16">
      <c r="A211" s="10">
        <v>2014</v>
      </c>
      <c r="B211" s="11" t="s">
        <v>483</v>
      </c>
      <c r="C211" s="11" t="s">
        <v>484</v>
      </c>
      <c r="D211" s="12">
        <v>1015042</v>
      </c>
      <c r="E211" s="12">
        <v>2</v>
      </c>
      <c r="F211" s="12"/>
      <c r="G211" s="12">
        <v>300</v>
      </c>
      <c r="H211" s="12">
        <v>5</v>
      </c>
      <c r="I211" s="12" t="s">
        <v>368</v>
      </c>
      <c r="J211" s="12" t="s">
        <v>76</v>
      </c>
      <c r="K211" s="12" t="b">
        <v>0</v>
      </c>
      <c r="L211" s="12">
        <v>2</v>
      </c>
      <c r="M211" s="8">
        <v>2016</v>
      </c>
      <c r="N211" s="9">
        <v>518457</v>
      </c>
      <c r="O211" s="13">
        <v>41815</v>
      </c>
      <c r="P211" s="13">
        <v>41815</v>
      </c>
    </row>
    <row r="212" spans="1:16">
      <c r="A212" s="10">
        <v>2014</v>
      </c>
      <c r="B212" s="11" t="s">
        <v>483</v>
      </c>
      <c r="C212" s="11" t="s">
        <v>484</v>
      </c>
      <c r="D212" s="12">
        <v>1015042</v>
      </c>
      <c r="E212" s="12">
        <v>2</v>
      </c>
      <c r="F212" s="12"/>
      <c r="G212" s="12">
        <v>300</v>
      </c>
      <c r="H212" s="12">
        <v>5</v>
      </c>
      <c r="I212" s="12" t="s">
        <v>368</v>
      </c>
      <c r="J212" s="12" t="s">
        <v>76</v>
      </c>
      <c r="K212" s="12" t="b">
        <v>0</v>
      </c>
      <c r="L212" s="12">
        <v>5</v>
      </c>
      <c r="M212" s="8">
        <v>2019</v>
      </c>
      <c r="N212" s="9">
        <v>300000</v>
      </c>
      <c r="O212" s="13">
        <v>41815</v>
      </c>
      <c r="P212" s="13">
        <v>41815</v>
      </c>
    </row>
    <row r="213" spans="1:16">
      <c r="A213" s="10">
        <v>2014</v>
      </c>
      <c r="B213" s="11" t="s">
        <v>483</v>
      </c>
      <c r="C213" s="11" t="s">
        <v>484</v>
      </c>
      <c r="D213" s="12">
        <v>1015042</v>
      </c>
      <c r="E213" s="12">
        <v>2</v>
      </c>
      <c r="F213" s="12"/>
      <c r="G213" s="12">
        <v>300</v>
      </c>
      <c r="H213" s="12">
        <v>5</v>
      </c>
      <c r="I213" s="12" t="s">
        <v>368</v>
      </c>
      <c r="J213" s="12" t="s">
        <v>76</v>
      </c>
      <c r="K213" s="12" t="b">
        <v>0</v>
      </c>
      <c r="L213" s="12">
        <v>7</v>
      </c>
      <c r="M213" s="8">
        <v>2021</v>
      </c>
      <c r="N213" s="9">
        <v>100000</v>
      </c>
      <c r="O213" s="13">
        <v>41815</v>
      </c>
      <c r="P213" s="13">
        <v>41815</v>
      </c>
    </row>
    <row r="214" spans="1:16">
      <c r="A214" s="10">
        <v>2014</v>
      </c>
      <c r="B214" s="11" t="s">
        <v>483</v>
      </c>
      <c r="C214" s="11" t="s">
        <v>484</v>
      </c>
      <c r="D214" s="12">
        <v>1015042</v>
      </c>
      <c r="E214" s="12">
        <v>2</v>
      </c>
      <c r="F214" s="12"/>
      <c r="G214" s="12">
        <v>300</v>
      </c>
      <c r="H214" s="12">
        <v>5</v>
      </c>
      <c r="I214" s="12" t="s">
        <v>368</v>
      </c>
      <c r="J214" s="12" t="s">
        <v>76</v>
      </c>
      <c r="K214" s="12" t="b">
        <v>0</v>
      </c>
      <c r="L214" s="12">
        <v>4</v>
      </c>
      <c r="M214" s="8">
        <v>2018</v>
      </c>
      <c r="N214" s="9">
        <v>350000</v>
      </c>
      <c r="O214" s="13">
        <v>41815</v>
      </c>
      <c r="P214" s="13">
        <v>41815</v>
      </c>
    </row>
    <row r="215" spans="1:16">
      <c r="A215" s="10">
        <v>2014</v>
      </c>
      <c r="B215" s="11" t="s">
        <v>483</v>
      </c>
      <c r="C215" s="11" t="s">
        <v>484</v>
      </c>
      <c r="D215" s="12">
        <v>1015042</v>
      </c>
      <c r="E215" s="12">
        <v>2</v>
      </c>
      <c r="F215" s="12"/>
      <c r="G215" s="12">
        <v>300</v>
      </c>
      <c r="H215" s="12">
        <v>5</v>
      </c>
      <c r="I215" s="12" t="s">
        <v>368</v>
      </c>
      <c r="J215" s="12" t="s">
        <v>76</v>
      </c>
      <c r="K215" s="12" t="b">
        <v>0</v>
      </c>
      <c r="L215" s="12">
        <v>3</v>
      </c>
      <c r="M215" s="8">
        <v>2017</v>
      </c>
      <c r="N215" s="9">
        <v>450000</v>
      </c>
      <c r="O215" s="13">
        <v>41815</v>
      </c>
      <c r="P215" s="13">
        <v>41815</v>
      </c>
    </row>
    <row r="216" spans="1:16">
      <c r="A216" s="10">
        <v>2014</v>
      </c>
      <c r="B216" s="11" t="s">
        <v>483</v>
      </c>
      <c r="C216" s="11" t="s">
        <v>484</v>
      </c>
      <c r="D216" s="12">
        <v>1015042</v>
      </c>
      <c r="E216" s="12">
        <v>2</v>
      </c>
      <c r="F216" s="12"/>
      <c r="G216" s="12">
        <v>300</v>
      </c>
      <c r="H216" s="12">
        <v>5</v>
      </c>
      <c r="I216" s="12" t="s">
        <v>368</v>
      </c>
      <c r="J216" s="12" t="s">
        <v>76</v>
      </c>
      <c r="K216" s="12" t="b">
        <v>0</v>
      </c>
      <c r="L216" s="12">
        <v>0</v>
      </c>
      <c r="M216" s="8">
        <v>2014</v>
      </c>
      <c r="N216" s="9">
        <v>472621</v>
      </c>
      <c r="O216" s="13">
        <v>41815</v>
      </c>
      <c r="P216" s="13">
        <v>41815</v>
      </c>
    </row>
    <row r="217" spans="1:16">
      <c r="A217" s="10">
        <v>2014</v>
      </c>
      <c r="B217" s="11" t="s">
        <v>483</v>
      </c>
      <c r="C217" s="11" t="s">
        <v>484</v>
      </c>
      <c r="D217" s="12">
        <v>1015042</v>
      </c>
      <c r="E217" s="12">
        <v>2</v>
      </c>
      <c r="F217" s="12"/>
      <c r="G217" s="12">
        <v>300</v>
      </c>
      <c r="H217" s="12">
        <v>5</v>
      </c>
      <c r="I217" s="12" t="s">
        <v>368</v>
      </c>
      <c r="J217" s="12" t="s">
        <v>76</v>
      </c>
      <c r="K217" s="12" t="b">
        <v>0</v>
      </c>
      <c r="L217" s="12">
        <v>6</v>
      </c>
      <c r="M217" s="8">
        <v>2020</v>
      </c>
      <c r="N217" s="9">
        <v>250000</v>
      </c>
      <c r="O217" s="13">
        <v>41815</v>
      </c>
      <c r="P217" s="13">
        <v>41815</v>
      </c>
    </row>
    <row r="218" spans="1:16">
      <c r="A218" s="10">
        <v>2014</v>
      </c>
      <c r="B218" s="11" t="s">
        <v>483</v>
      </c>
      <c r="C218" s="11" t="s">
        <v>484</v>
      </c>
      <c r="D218" s="12">
        <v>1015042</v>
      </c>
      <c r="E218" s="12">
        <v>2</v>
      </c>
      <c r="F218" s="12"/>
      <c r="G218" s="12">
        <v>300</v>
      </c>
      <c r="H218" s="12">
        <v>5</v>
      </c>
      <c r="I218" s="12" t="s">
        <v>368</v>
      </c>
      <c r="J218" s="12" t="s">
        <v>76</v>
      </c>
      <c r="K218" s="12" t="b">
        <v>0</v>
      </c>
      <c r="L218" s="12">
        <v>1</v>
      </c>
      <c r="M218" s="8">
        <v>2015</v>
      </c>
      <c r="N218" s="9">
        <v>537692</v>
      </c>
      <c r="O218" s="13">
        <v>41815</v>
      </c>
      <c r="P218" s="13">
        <v>41815</v>
      </c>
    </row>
    <row r="219" spans="1:16">
      <c r="A219" s="10">
        <v>2014</v>
      </c>
      <c r="B219" s="11" t="s">
        <v>483</v>
      </c>
      <c r="C219" s="11" t="s">
        <v>484</v>
      </c>
      <c r="D219" s="12">
        <v>1015042</v>
      </c>
      <c r="E219" s="12">
        <v>2</v>
      </c>
      <c r="F219" s="12"/>
      <c r="G219" s="12">
        <v>300</v>
      </c>
      <c r="H219" s="12">
        <v>5</v>
      </c>
      <c r="I219" s="12" t="s">
        <v>368</v>
      </c>
      <c r="J219" s="12" t="s">
        <v>76</v>
      </c>
      <c r="K219" s="12" t="b">
        <v>0</v>
      </c>
      <c r="L219" s="12">
        <v>8</v>
      </c>
      <c r="M219" s="8">
        <v>2022</v>
      </c>
      <c r="N219" s="9">
        <v>38333.15</v>
      </c>
      <c r="O219" s="13">
        <v>41815</v>
      </c>
      <c r="P219" s="13">
        <v>41815</v>
      </c>
    </row>
    <row r="220" spans="1:16">
      <c r="A220" s="10">
        <v>2014</v>
      </c>
      <c r="B220" s="11" t="s">
        <v>483</v>
      </c>
      <c r="C220" s="11" t="s">
        <v>484</v>
      </c>
      <c r="D220" s="12">
        <v>1015042</v>
      </c>
      <c r="E220" s="12">
        <v>2</v>
      </c>
      <c r="F220" s="12"/>
      <c r="G220" s="12">
        <v>90</v>
      </c>
      <c r="H220" s="12">
        <v>1.2</v>
      </c>
      <c r="I220" s="12"/>
      <c r="J220" s="12" t="s">
        <v>53</v>
      </c>
      <c r="K220" s="12" t="b">
        <v>1</v>
      </c>
      <c r="L220" s="12">
        <v>4</v>
      </c>
      <c r="M220" s="8">
        <v>2018</v>
      </c>
      <c r="N220" s="9">
        <v>0</v>
      </c>
      <c r="O220" s="13">
        <v>41815</v>
      </c>
      <c r="P220" s="13">
        <v>41815</v>
      </c>
    </row>
    <row r="221" spans="1:16">
      <c r="A221" s="10">
        <v>2014</v>
      </c>
      <c r="B221" s="11" t="s">
        <v>483</v>
      </c>
      <c r="C221" s="11" t="s">
        <v>484</v>
      </c>
      <c r="D221" s="12">
        <v>1015042</v>
      </c>
      <c r="E221" s="12">
        <v>2</v>
      </c>
      <c r="F221" s="12"/>
      <c r="G221" s="12">
        <v>90</v>
      </c>
      <c r="H221" s="12">
        <v>1.2</v>
      </c>
      <c r="I221" s="12"/>
      <c r="J221" s="12" t="s">
        <v>53</v>
      </c>
      <c r="K221" s="12" t="b">
        <v>1</v>
      </c>
      <c r="L221" s="12">
        <v>0</v>
      </c>
      <c r="M221" s="8">
        <v>2014</v>
      </c>
      <c r="N221" s="9">
        <v>2016839</v>
      </c>
      <c r="O221" s="13">
        <v>41815</v>
      </c>
      <c r="P221" s="13">
        <v>41815</v>
      </c>
    </row>
    <row r="222" spans="1:16">
      <c r="A222" s="10">
        <v>2014</v>
      </c>
      <c r="B222" s="11" t="s">
        <v>483</v>
      </c>
      <c r="C222" s="11" t="s">
        <v>484</v>
      </c>
      <c r="D222" s="12">
        <v>1015042</v>
      </c>
      <c r="E222" s="12">
        <v>2</v>
      </c>
      <c r="F222" s="12"/>
      <c r="G222" s="12">
        <v>90</v>
      </c>
      <c r="H222" s="12">
        <v>1.2</v>
      </c>
      <c r="I222" s="12"/>
      <c r="J222" s="12" t="s">
        <v>53</v>
      </c>
      <c r="K222" s="12" t="b">
        <v>1</v>
      </c>
      <c r="L222" s="12">
        <v>1</v>
      </c>
      <c r="M222" s="8">
        <v>2015</v>
      </c>
      <c r="N222" s="9">
        <v>0</v>
      </c>
      <c r="O222" s="13">
        <v>41815</v>
      </c>
      <c r="P222" s="13">
        <v>41815</v>
      </c>
    </row>
    <row r="223" spans="1:16">
      <c r="A223" s="10">
        <v>2014</v>
      </c>
      <c r="B223" s="11" t="s">
        <v>483</v>
      </c>
      <c r="C223" s="11" t="s">
        <v>484</v>
      </c>
      <c r="D223" s="12">
        <v>1015042</v>
      </c>
      <c r="E223" s="12">
        <v>2</v>
      </c>
      <c r="F223" s="12"/>
      <c r="G223" s="12">
        <v>90</v>
      </c>
      <c r="H223" s="12">
        <v>1.2</v>
      </c>
      <c r="I223" s="12"/>
      <c r="J223" s="12" t="s">
        <v>53</v>
      </c>
      <c r="K223" s="12" t="b">
        <v>1</v>
      </c>
      <c r="L223" s="12">
        <v>8</v>
      </c>
      <c r="M223" s="8">
        <v>2022</v>
      </c>
      <c r="N223" s="9">
        <v>0</v>
      </c>
      <c r="O223" s="13">
        <v>41815</v>
      </c>
      <c r="P223" s="13">
        <v>41815</v>
      </c>
    </row>
    <row r="224" spans="1:16">
      <c r="A224" s="10">
        <v>2014</v>
      </c>
      <c r="B224" s="11" t="s">
        <v>483</v>
      </c>
      <c r="C224" s="11" t="s">
        <v>484</v>
      </c>
      <c r="D224" s="12">
        <v>1015042</v>
      </c>
      <c r="E224" s="12">
        <v>2</v>
      </c>
      <c r="F224" s="12"/>
      <c r="G224" s="12">
        <v>90</v>
      </c>
      <c r="H224" s="12">
        <v>1.2</v>
      </c>
      <c r="I224" s="12"/>
      <c r="J224" s="12" t="s">
        <v>53</v>
      </c>
      <c r="K224" s="12" t="b">
        <v>1</v>
      </c>
      <c r="L224" s="12">
        <v>3</v>
      </c>
      <c r="M224" s="8">
        <v>2017</v>
      </c>
      <c r="N224" s="9">
        <v>0</v>
      </c>
      <c r="O224" s="13">
        <v>41815</v>
      </c>
      <c r="P224" s="13">
        <v>41815</v>
      </c>
    </row>
    <row r="225" spans="1:16">
      <c r="A225" s="10">
        <v>2014</v>
      </c>
      <c r="B225" s="11" t="s">
        <v>483</v>
      </c>
      <c r="C225" s="11" t="s">
        <v>484</v>
      </c>
      <c r="D225" s="12">
        <v>1015042</v>
      </c>
      <c r="E225" s="12">
        <v>2</v>
      </c>
      <c r="F225" s="12"/>
      <c r="G225" s="12">
        <v>90</v>
      </c>
      <c r="H225" s="12">
        <v>1.2</v>
      </c>
      <c r="I225" s="12"/>
      <c r="J225" s="12" t="s">
        <v>53</v>
      </c>
      <c r="K225" s="12" t="b">
        <v>1</v>
      </c>
      <c r="L225" s="12">
        <v>6</v>
      </c>
      <c r="M225" s="8">
        <v>2020</v>
      </c>
      <c r="N225" s="9">
        <v>0</v>
      </c>
      <c r="O225" s="13">
        <v>41815</v>
      </c>
      <c r="P225" s="13">
        <v>41815</v>
      </c>
    </row>
    <row r="226" spans="1:16">
      <c r="A226" s="10">
        <v>2014</v>
      </c>
      <c r="B226" s="11" t="s">
        <v>483</v>
      </c>
      <c r="C226" s="11" t="s">
        <v>484</v>
      </c>
      <c r="D226" s="12">
        <v>1015042</v>
      </c>
      <c r="E226" s="12">
        <v>2</v>
      </c>
      <c r="F226" s="12"/>
      <c r="G226" s="12">
        <v>90</v>
      </c>
      <c r="H226" s="12">
        <v>1.2</v>
      </c>
      <c r="I226" s="12"/>
      <c r="J226" s="12" t="s">
        <v>53</v>
      </c>
      <c r="K226" s="12" t="b">
        <v>1</v>
      </c>
      <c r="L226" s="12">
        <v>5</v>
      </c>
      <c r="M226" s="8">
        <v>2019</v>
      </c>
      <c r="N226" s="9">
        <v>0</v>
      </c>
      <c r="O226" s="13">
        <v>41815</v>
      </c>
      <c r="P226" s="13">
        <v>41815</v>
      </c>
    </row>
    <row r="227" spans="1:16">
      <c r="A227" s="10">
        <v>2014</v>
      </c>
      <c r="B227" s="11" t="s">
        <v>483</v>
      </c>
      <c r="C227" s="11" t="s">
        <v>484</v>
      </c>
      <c r="D227" s="12">
        <v>1015042</v>
      </c>
      <c r="E227" s="12">
        <v>2</v>
      </c>
      <c r="F227" s="12"/>
      <c r="G227" s="12">
        <v>90</v>
      </c>
      <c r="H227" s="12">
        <v>1.2</v>
      </c>
      <c r="I227" s="12"/>
      <c r="J227" s="12" t="s">
        <v>53</v>
      </c>
      <c r="K227" s="12" t="b">
        <v>1</v>
      </c>
      <c r="L227" s="12">
        <v>2</v>
      </c>
      <c r="M227" s="8">
        <v>2016</v>
      </c>
      <c r="N227" s="9">
        <v>0</v>
      </c>
      <c r="O227" s="13">
        <v>41815</v>
      </c>
      <c r="P227" s="13">
        <v>41815</v>
      </c>
    </row>
    <row r="228" spans="1:16">
      <c r="A228" s="10">
        <v>2014</v>
      </c>
      <c r="B228" s="11" t="s">
        <v>483</v>
      </c>
      <c r="C228" s="11" t="s">
        <v>484</v>
      </c>
      <c r="D228" s="12">
        <v>1015042</v>
      </c>
      <c r="E228" s="12">
        <v>2</v>
      </c>
      <c r="F228" s="12"/>
      <c r="G228" s="12">
        <v>90</v>
      </c>
      <c r="H228" s="12">
        <v>1.2</v>
      </c>
      <c r="I228" s="12"/>
      <c r="J228" s="12" t="s">
        <v>53</v>
      </c>
      <c r="K228" s="12" t="b">
        <v>1</v>
      </c>
      <c r="L228" s="12">
        <v>7</v>
      </c>
      <c r="M228" s="8">
        <v>2021</v>
      </c>
      <c r="N228" s="9">
        <v>0</v>
      </c>
      <c r="O228" s="13">
        <v>41815</v>
      </c>
      <c r="P228" s="13">
        <v>41815</v>
      </c>
    </row>
    <row r="229" spans="1:16">
      <c r="A229" s="10">
        <v>2014</v>
      </c>
      <c r="B229" s="11" t="s">
        <v>483</v>
      </c>
      <c r="C229" s="11" t="s">
        <v>484</v>
      </c>
      <c r="D229" s="12">
        <v>1015042</v>
      </c>
      <c r="E229" s="12">
        <v>2</v>
      </c>
      <c r="F229" s="12"/>
      <c r="G229" s="12">
        <v>763</v>
      </c>
      <c r="H229" s="12">
        <v>12.5</v>
      </c>
      <c r="I229" s="12"/>
      <c r="J229" s="12" t="s">
        <v>398</v>
      </c>
      <c r="K229" s="12" t="b">
        <v>1</v>
      </c>
      <c r="L229" s="12">
        <v>8</v>
      </c>
      <c r="M229" s="8">
        <v>2022</v>
      </c>
      <c r="N229" s="9">
        <v>0</v>
      </c>
      <c r="O229" s="13">
        <v>41815</v>
      </c>
      <c r="P229" s="13">
        <v>41815</v>
      </c>
    </row>
    <row r="230" spans="1:16">
      <c r="A230" s="10">
        <v>2014</v>
      </c>
      <c r="B230" s="11" t="s">
        <v>483</v>
      </c>
      <c r="C230" s="11" t="s">
        <v>484</v>
      </c>
      <c r="D230" s="12">
        <v>1015042</v>
      </c>
      <c r="E230" s="12">
        <v>2</v>
      </c>
      <c r="F230" s="12"/>
      <c r="G230" s="12">
        <v>763</v>
      </c>
      <c r="H230" s="12">
        <v>12.5</v>
      </c>
      <c r="I230" s="12"/>
      <c r="J230" s="12" t="s">
        <v>398</v>
      </c>
      <c r="K230" s="12" t="b">
        <v>1</v>
      </c>
      <c r="L230" s="12">
        <v>0</v>
      </c>
      <c r="M230" s="8">
        <v>2014</v>
      </c>
      <c r="N230" s="9">
        <v>287400.03000000003</v>
      </c>
      <c r="O230" s="13">
        <v>41815</v>
      </c>
      <c r="P230" s="13">
        <v>41815</v>
      </c>
    </row>
    <row r="231" spans="1:16">
      <c r="A231" s="10">
        <v>2014</v>
      </c>
      <c r="B231" s="11" t="s">
        <v>483</v>
      </c>
      <c r="C231" s="11" t="s">
        <v>484</v>
      </c>
      <c r="D231" s="12">
        <v>1015042</v>
      </c>
      <c r="E231" s="12">
        <v>2</v>
      </c>
      <c r="F231" s="12"/>
      <c r="G231" s="12">
        <v>763</v>
      </c>
      <c r="H231" s="12">
        <v>12.5</v>
      </c>
      <c r="I231" s="12"/>
      <c r="J231" s="12" t="s">
        <v>398</v>
      </c>
      <c r="K231" s="12" t="b">
        <v>1</v>
      </c>
      <c r="L231" s="12">
        <v>1</v>
      </c>
      <c r="M231" s="8">
        <v>2015</v>
      </c>
      <c r="N231" s="9">
        <v>10640.88</v>
      </c>
      <c r="O231" s="13">
        <v>41815</v>
      </c>
      <c r="P231" s="13">
        <v>41815</v>
      </c>
    </row>
    <row r="232" spans="1:16">
      <c r="A232" s="10">
        <v>2014</v>
      </c>
      <c r="B232" s="11" t="s">
        <v>483</v>
      </c>
      <c r="C232" s="11" t="s">
        <v>484</v>
      </c>
      <c r="D232" s="12">
        <v>1015042</v>
      </c>
      <c r="E232" s="12">
        <v>2</v>
      </c>
      <c r="F232" s="12"/>
      <c r="G232" s="12">
        <v>763</v>
      </c>
      <c r="H232" s="12">
        <v>12.5</v>
      </c>
      <c r="I232" s="12"/>
      <c r="J232" s="12" t="s">
        <v>398</v>
      </c>
      <c r="K232" s="12" t="b">
        <v>1</v>
      </c>
      <c r="L232" s="12">
        <v>2</v>
      </c>
      <c r="M232" s="8">
        <v>2016</v>
      </c>
      <c r="N232" s="9">
        <v>0</v>
      </c>
      <c r="O232" s="13">
        <v>41815</v>
      </c>
      <c r="P232" s="13">
        <v>41815</v>
      </c>
    </row>
    <row r="233" spans="1:16">
      <c r="A233" s="10">
        <v>2014</v>
      </c>
      <c r="B233" s="11" t="s">
        <v>483</v>
      </c>
      <c r="C233" s="11" t="s">
        <v>484</v>
      </c>
      <c r="D233" s="12">
        <v>1015042</v>
      </c>
      <c r="E233" s="12">
        <v>2</v>
      </c>
      <c r="F233" s="12"/>
      <c r="G233" s="12">
        <v>763</v>
      </c>
      <c r="H233" s="12">
        <v>12.5</v>
      </c>
      <c r="I233" s="12"/>
      <c r="J233" s="12" t="s">
        <v>398</v>
      </c>
      <c r="K233" s="12" t="b">
        <v>1</v>
      </c>
      <c r="L233" s="12">
        <v>6</v>
      </c>
      <c r="M233" s="8">
        <v>2020</v>
      </c>
      <c r="N233" s="9">
        <v>0</v>
      </c>
      <c r="O233" s="13">
        <v>41815</v>
      </c>
      <c r="P233" s="13">
        <v>41815</v>
      </c>
    </row>
    <row r="234" spans="1:16">
      <c r="A234" s="10">
        <v>2014</v>
      </c>
      <c r="B234" s="11" t="s">
        <v>483</v>
      </c>
      <c r="C234" s="11" t="s">
        <v>484</v>
      </c>
      <c r="D234" s="12">
        <v>1015042</v>
      </c>
      <c r="E234" s="12">
        <v>2</v>
      </c>
      <c r="F234" s="12"/>
      <c r="G234" s="12">
        <v>763</v>
      </c>
      <c r="H234" s="12">
        <v>12.5</v>
      </c>
      <c r="I234" s="12"/>
      <c r="J234" s="12" t="s">
        <v>398</v>
      </c>
      <c r="K234" s="12" t="b">
        <v>1</v>
      </c>
      <c r="L234" s="12">
        <v>4</v>
      </c>
      <c r="M234" s="8">
        <v>2018</v>
      </c>
      <c r="N234" s="9">
        <v>0</v>
      </c>
      <c r="O234" s="13">
        <v>41815</v>
      </c>
      <c r="P234" s="13">
        <v>41815</v>
      </c>
    </row>
    <row r="235" spans="1:16">
      <c r="A235" s="10">
        <v>2014</v>
      </c>
      <c r="B235" s="11" t="s">
        <v>483</v>
      </c>
      <c r="C235" s="11" t="s">
        <v>484</v>
      </c>
      <c r="D235" s="12">
        <v>1015042</v>
      </c>
      <c r="E235" s="12">
        <v>2</v>
      </c>
      <c r="F235" s="12"/>
      <c r="G235" s="12">
        <v>763</v>
      </c>
      <c r="H235" s="12">
        <v>12.5</v>
      </c>
      <c r="I235" s="12"/>
      <c r="J235" s="12" t="s">
        <v>398</v>
      </c>
      <c r="K235" s="12" t="b">
        <v>1</v>
      </c>
      <c r="L235" s="12">
        <v>3</v>
      </c>
      <c r="M235" s="8">
        <v>2017</v>
      </c>
      <c r="N235" s="9">
        <v>0</v>
      </c>
      <c r="O235" s="13">
        <v>41815</v>
      </c>
      <c r="P235" s="13">
        <v>41815</v>
      </c>
    </row>
    <row r="236" spans="1:16">
      <c r="A236" s="10">
        <v>2014</v>
      </c>
      <c r="B236" s="11" t="s">
        <v>483</v>
      </c>
      <c r="C236" s="11" t="s">
        <v>484</v>
      </c>
      <c r="D236" s="12">
        <v>1015042</v>
      </c>
      <c r="E236" s="12">
        <v>2</v>
      </c>
      <c r="F236" s="12"/>
      <c r="G236" s="12">
        <v>763</v>
      </c>
      <c r="H236" s="12">
        <v>12.5</v>
      </c>
      <c r="I236" s="12"/>
      <c r="J236" s="12" t="s">
        <v>398</v>
      </c>
      <c r="K236" s="12" t="b">
        <v>1</v>
      </c>
      <c r="L236" s="12">
        <v>7</v>
      </c>
      <c r="M236" s="8">
        <v>2021</v>
      </c>
      <c r="N236" s="9">
        <v>0</v>
      </c>
      <c r="O236" s="13">
        <v>41815</v>
      </c>
      <c r="P236" s="13">
        <v>41815</v>
      </c>
    </row>
    <row r="237" spans="1:16">
      <c r="A237" s="10">
        <v>2014</v>
      </c>
      <c r="B237" s="11" t="s">
        <v>483</v>
      </c>
      <c r="C237" s="11" t="s">
        <v>484</v>
      </c>
      <c r="D237" s="12">
        <v>1015042</v>
      </c>
      <c r="E237" s="12">
        <v>2</v>
      </c>
      <c r="F237" s="12"/>
      <c r="G237" s="12">
        <v>763</v>
      </c>
      <c r="H237" s="12">
        <v>12.5</v>
      </c>
      <c r="I237" s="12"/>
      <c r="J237" s="12" t="s">
        <v>398</v>
      </c>
      <c r="K237" s="12" t="b">
        <v>1</v>
      </c>
      <c r="L237" s="12">
        <v>5</v>
      </c>
      <c r="M237" s="8">
        <v>2019</v>
      </c>
      <c r="N237" s="9">
        <v>0</v>
      </c>
      <c r="O237" s="13">
        <v>41815</v>
      </c>
      <c r="P237" s="13">
        <v>41815</v>
      </c>
    </row>
    <row r="238" spans="1:16">
      <c r="A238" s="10">
        <v>2014</v>
      </c>
      <c r="B238" s="11" t="s">
        <v>483</v>
      </c>
      <c r="C238" s="11" t="s">
        <v>484</v>
      </c>
      <c r="D238" s="12">
        <v>1015042</v>
      </c>
      <c r="E238" s="12">
        <v>2</v>
      </c>
      <c r="F238" s="12"/>
      <c r="G238" s="12">
        <v>860</v>
      </c>
      <c r="H238" s="12">
        <v>13.7</v>
      </c>
      <c r="I238" s="12"/>
      <c r="J238" s="12" t="s">
        <v>125</v>
      </c>
      <c r="K238" s="12" t="b">
        <v>1</v>
      </c>
      <c r="L238" s="12">
        <v>1</v>
      </c>
      <c r="M238" s="8">
        <v>2015</v>
      </c>
      <c r="N238" s="9">
        <v>0</v>
      </c>
      <c r="O238" s="13">
        <v>41815</v>
      </c>
      <c r="P238" s="13">
        <v>41815</v>
      </c>
    </row>
    <row r="239" spans="1:16">
      <c r="A239" s="10">
        <v>2014</v>
      </c>
      <c r="B239" s="11" t="s">
        <v>483</v>
      </c>
      <c r="C239" s="11" t="s">
        <v>484</v>
      </c>
      <c r="D239" s="12">
        <v>1015042</v>
      </c>
      <c r="E239" s="12">
        <v>2</v>
      </c>
      <c r="F239" s="12"/>
      <c r="G239" s="12">
        <v>860</v>
      </c>
      <c r="H239" s="12">
        <v>13.7</v>
      </c>
      <c r="I239" s="12"/>
      <c r="J239" s="12" t="s">
        <v>125</v>
      </c>
      <c r="K239" s="12" t="b">
        <v>1</v>
      </c>
      <c r="L239" s="12">
        <v>2</v>
      </c>
      <c r="M239" s="8">
        <v>2016</v>
      </c>
      <c r="N239" s="9">
        <v>0</v>
      </c>
      <c r="O239" s="13">
        <v>41815</v>
      </c>
      <c r="P239" s="13">
        <v>41815</v>
      </c>
    </row>
    <row r="240" spans="1:16">
      <c r="A240" s="10">
        <v>2014</v>
      </c>
      <c r="B240" s="11" t="s">
        <v>483</v>
      </c>
      <c r="C240" s="11" t="s">
        <v>484</v>
      </c>
      <c r="D240" s="12">
        <v>1015042</v>
      </c>
      <c r="E240" s="12">
        <v>2</v>
      </c>
      <c r="F240" s="12"/>
      <c r="G240" s="12">
        <v>860</v>
      </c>
      <c r="H240" s="12">
        <v>13.7</v>
      </c>
      <c r="I240" s="12"/>
      <c r="J240" s="12" t="s">
        <v>125</v>
      </c>
      <c r="K240" s="12" t="b">
        <v>1</v>
      </c>
      <c r="L240" s="12">
        <v>0</v>
      </c>
      <c r="M240" s="8">
        <v>2014</v>
      </c>
      <c r="N240" s="9">
        <v>0</v>
      </c>
      <c r="O240" s="13">
        <v>41815</v>
      </c>
      <c r="P240" s="13">
        <v>41815</v>
      </c>
    </row>
    <row r="241" spans="1:16">
      <c r="A241" s="10">
        <v>2014</v>
      </c>
      <c r="B241" s="11" t="s">
        <v>483</v>
      </c>
      <c r="C241" s="11" t="s">
        <v>484</v>
      </c>
      <c r="D241" s="12">
        <v>1015042</v>
      </c>
      <c r="E241" s="12">
        <v>2</v>
      </c>
      <c r="F241" s="12"/>
      <c r="G241" s="12">
        <v>860</v>
      </c>
      <c r="H241" s="12">
        <v>13.7</v>
      </c>
      <c r="I241" s="12"/>
      <c r="J241" s="12" t="s">
        <v>125</v>
      </c>
      <c r="K241" s="12" t="b">
        <v>1</v>
      </c>
      <c r="L241" s="12">
        <v>8</v>
      </c>
      <c r="M241" s="8">
        <v>2022</v>
      </c>
      <c r="N241" s="9">
        <v>0</v>
      </c>
      <c r="O241" s="13">
        <v>41815</v>
      </c>
      <c r="P241" s="13">
        <v>41815</v>
      </c>
    </row>
    <row r="242" spans="1:16">
      <c r="A242" s="10">
        <v>2014</v>
      </c>
      <c r="B242" s="11" t="s">
        <v>483</v>
      </c>
      <c r="C242" s="11" t="s">
        <v>484</v>
      </c>
      <c r="D242" s="12">
        <v>1015042</v>
      </c>
      <c r="E242" s="12">
        <v>2</v>
      </c>
      <c r="F242" s="12"/>
      <c r="G242" s="12">
        <v>860</v>
      </c>
      <c r="H242" s="12">
        <v>13.7</v>
      </c>
      <c r="I242" s="12"/>
      <c r="J242" s="12" t="s">
        <v>125</v>
      </c>
      <c r="K242" s="12" t="b">
        <v>1</v>
      </c>
      <c r="L242" s="12">
        <v>7</v>
      </c>
      <c r="M242" s="8">
        <v>2021</v>
      </c>
      <c r="N242" s="9">
        <v>0</v>
      </c>
      <c r="O242" s="13">
        <v>41815</v>
      </c>
      <c r="P242" s="13">
        <v>41815</v>
      </c>
    </row>
    <row r="243" spans="1:16">
      <c r="A243" s="10">
        <v>2014</v>
      </c>
      <c r="B243" s="11" t="s">
        <v>483</v>
      </c>
      <c r="C243" s="11" t="s">
        <v>484</v>
      </c>
      <c r="D243" s="12">
        <v>1015042</v>
      </c>
      <c r="E243" s="12">
        <v>2</v>
      </c>
      <c r="F243" s="12"/>
      <c r="G243" s="12">
        <v>860</v>
      </c>
      <c r="H243" s="12">
        <v>13.7</v>
      </c>
      <c r="I243" s="12"/>
      <c r="J243" s="12" t="s">
        <v>125</v>
      </c>
      <c r="K243" s="12" t="b">
        <v>1</v>
      </c>
      <c r="L243" s="12">
        <v>3</v>
      </c>
      <c r="M243" s="8">
        <v>2017</v>
      </c>
      <c r="N243" s="9">
        <v>0</v>
      </c>
      <c r="O243" s="13">
        <v>41815</v>
      </c>
      <c r="P243" s="13">
        <v>41815</v>
      </c>
    </row>
    <row r="244" spans="1:16">
      <c r="A244" s="10">
        <v>2014</v>
      </c>
      <c r="B244" s="11" t="s">
        <v>483</v>
      </c>
      <c r="C244" s="11" t="s">
        <v>484</v>
      </c>
      <c r="D244" s="12">
        <v>1015042</v>
      </c>
      <c r="E244" s="12">
        <v>2</v>
      </c>
      <c r="F244" s="12"/>
      <c r="G244" s="12">
        <v>860</v>
      </c>
      <c r="H244" s="12">
        <v>13.7</v>
      </c>
      <c r="I244" s="12"/>
      <c r="J244" s="12" t="s">
        <v>125</v>
      </c>
      <c r="K244" s="12" t="b">
        <v>1</v>
      </c>
      <c r="L244" s="12">
        <v>5</v>
      </c>
      <c r="M244" s="8">
        <v>2019</v>
      </c>
      <c r="N244" s="9">
        <v>0</v>
      </c>
      <c r="O244" s="13">
        <v>41815</v>
      </c>
      <c r="P244" s="13">
        <v>41815</v>
      </c>
    </row>
    <row r="245" spans="1:16">
      <c r="A245" s="10">
        <v>2014</v>
      </c>
      <c r="B245" s="11" t="s">
        <v>483</v>
      </c>
      <c r="C245" s="11" t="s">
        <v>484</v>
      </c>
      <c r="D245" s="12">
        <v>1015042</v>
      </c>
      <c r="E245" s="12">
        <v>2</v>
      </c>
      <c r="F245" s="12"/>
      <c r="G245" s="12">
        <v>860</v>
      </c>
      <c r="H245" s="12">
        <v>13.7</v>
      </c>
      <c r="I245" s="12"/>
      <c r="J245" s="12" t="s">
        <v>125</v>
      </c>
      <c r="K245" s="12" t="b">
        <v>1</v>
      </c>
      <c r="L245" s="12">
        <v>4</v>
      </c>
      <c r="M245" s="8">
        <v>2018</v>
      </c>
      <c r="N245" s="9">
        <v>0</v>
      </c>
      <c r="O245" s="13">
        <v>41815</v>
      </c>
      <c r="P245" s="13">
        <v>41815</v>
      </c>
    </row>
    <row r="246" spans="1:16">
      <c r="A246" s="10">
        <v>2014</v>
      </c>
      <c r="B246" s="11" t="s">
        <v>483</v>
      </c>
      <c r="C246" s="11" t="s">
        <v>484</v>
      </c>
      <c r="D246" s="12">
        <v>1015042</v>
      </c>
      <c r="E246" s="12">
        <v>2</v>
      </c>
      <c r="F246" s="12"/>
      <c r="G246" s="12">
        <v>860</v>
      </c>
      <c r="H246" s="12">
        <v>13.7</v>
      </c>
      <c r="I246" s="12"/>
      <c r="J246" s="12" t="s">
        <v>125</v>
      </c>
      <c r="K246" s="12" t="b">
        <v>1</v>
      </c>
      <c r="L246" s="12">
        <v>6</v>
      </c>
      <c r="M246" s="8">
        <v>2020</v>
      </c>
      <c r="N246" s="9">
        <v>0</v>
      </c>
      <c r="O246" s="13">
        <v>41815</v>
      </c>
      <c r="P246" s="13">
        <v>41815</v>
      </c>
    </row>
    <row r="247" spans="1:16">
      <c r="A247" s="10">
        <v>2014</v>
      </c>
      <c r="B247" s="11" t="s">
        <v>483</v>
      </c>
      <c r="C247" s="11" t="s">
        <v>484</v>
      </c>
      <c r="D247" s="12">
        <v>1015042</v>
      </c>
      <c r="E247" s="12">
        <v>2</v>
      </c>
      <c r="F247" s="12"/>
      <c r="G247" s="12">
        <v>570</v>
      </c>
      <c r="H247" s="12">
        <v>11</v>
      </c>
      <c r="I247" s="12"/>
      <c r="J247" s="12" t="s">
        <v>87</v>
      </c>
      <c r="K247" s="12" t="b">
        <v>0</v>
      </c>
      <c r="L247" s="12">
        <v>0</v>
      </c>
      <c r="M247" s="8">
        <v>2014</v>
      </c>
      <c r="N247" s="9">
        <v>0</v>
      </c>
      <c r="O247" s="13">
        <v>41815</v>
      </c>
      <c r="P247" s="13">
        <v>41815</v>
      </c>
    </row>
    <row r="248" spans="1:16">
      <c r="A248" s="10">
        <v>2014</v>
      </c>
      <c r="B248" s="11" t="s">
        <v>483</v>
      </c>
      <c r="C248" s="11" t="s">
        <v>484</v>
      </c>
      <c r="D248" s="12">
        <v>1015042</v>
      </c>
      <c r="E248" s="12">
        <v>2</v>
      </c>
      <c r="F248" s="12"/>
      <c r="G248" s="12">
        <v>570</v>
      </c>
      <c r="H248" s="12">
        <v>11</v>
      </c>
      <c r="I248" s="12"/>
      <c r="J248" s="12" t="s">
        <v>87</v>
      </c>
      <c r="K248" s="12" t="b">
        <v>0</v>
      </c>
      <c r="L248" s="12">
        <v>5</v>
      </c>
      <c r="M248" s="8">
        <v>2019</v>
      </c>
      <c r="N248" s="9">
        <v>0</v>
      </c>
      <c r="O248" s="13">
        <v>41815</v>
      </c>
      <c r="P248" s="13">
        <v>41815</v>
      </c>
    </row>
    <row r="249" spans="1:16">
      <c r="A249" s="10">
        <v>2014</v>
      </c>
      <c r="B249" s="11" t="s">
        <v>483</v>
      </c>
      <c r="C249" s="11" t="s">
        <v>484</v>
      </c>
      <c r="D249" s="12">
        <v>1015042</v>
      </c>
      <c r="E249" s="12">
        <v>2</v>
      </c>
      <c r="F249" s="12"/>
      <c r="G249" s="12">
        <v>570</v>
      </c>
      <c r="H249" s="12">
        <v>11</v>
      </c>
      <c r="I249" s="12"/>
      <c r="J249" s="12" t="s">
        <v>87</v>
      </c>
      <c r="K249" s="12" t="b">
        <v>0</v>
      </c>
      <c r="L249" s="12">
        <v>4</v>
      </c>
      <c r="M249" s="8">
        <v>2018</v>
      </c>
      <c r="N249" s="9">
        <v>0</v>
      </c>
      <c r="O249" s="13">
        <v>41815</v>
      </c>
      <c r="P249" s="13">
        <v>41815</v>
      </c>
    </row>
    <row r="250" spans="1:16">
      <c r="A250" s="10">
        <v>2014</v>
      </c>
      <c r="B250" s="11" t="s">
        <v>483</v>
      </c>
      <c r="C250" s="11" t="s">
        <v>484</v>
      </c>
      <c r="D250" s="12">
        <v>1015042</v>
      </c>
      <c r="E250" s="12">
        <v>2</v>
      </c>
      <c r="F250" s="12"/>
      <c r="G250" s="12">
        <v>570</v>
      </c>
      <c r="H250" s="12">
        <v>11</v>
      </c>
      <c r="I250" s="12"/>
      <c r="J250" s="12" t="s">
        <v>87</v>
      </c>
      <c r="K250" s="12" t="b">
        <v>0</v>
      </c>
      <c r="L250" s="12">
        <v>6</v>
      </c>
      <c r="M250" s="8">
        <v>2020</v>
      </c>
      <c r="N250" s="9">
        <v>0</v>
      </c>
      <c r="O250" s="13">
        <v>41815</v>
      </c>
      <c r="P250" s="13">
        <v>41815</v>
      </c>
    </row>
    <row r="251" spans="1:16">
      <c r="A251" s="10">
        <v>2014</v>
      </c>
      <c r="B251" s="11" t="s">
        <v>483</v>
      </c>
      <c r="C251" s="11" t="s">
        <v>484</v>
      </c>
      <c r="D251" s="12">
        <v>1015042</v>
      </c>
      <c r="E251" s="12">
        <v>2</v>
      </c>
      <c r="F251" s="12"/>
      <c r="G251" s="12">
        <v>570</v>
      </c>
      <c r="H251" s="12">
        <v>11</v>
      </c>
      <c r="I251" s="12"/>
      <c r="J251" s="12" t="s">
        <v>87</v>
      </c>
      <c r="K251" s="12" t="b">
        <v>0</v>
      </c>
      <c r="L251" s="12">
        <v>8</v>
      </c>
      <c r="M251" s="8">
        <v>2022</v>
      </c>
      <c r="N251" s="9">
        <v>0</v>
      </c>
      <c r="O251" s="13">
        <v>41815</v>
      </c>
      <c r="P251" s="13">
        <v>41815</v>
      </c>
    </row>
    <row r="252" spans="1:16">
      <c r="A252" s="10">
        <v>2014</v>
      </c>
      <c r="B252" s="11" t="s">
        <v>483</v>
      </c>
      <c r="C252" s="11" t="s">
        <v>484</v>
      </c>
      <c r="D252" s="12">
        <v>1015042</v>
      </c>
      <c r="E252" s="12">
        <v>2</v>
      </c>
      <c r="F252" s="12"/>
      <c r="G252" s="12">
        <v>570</v>
      </c>
      <c r="H252" s="12">
        <v>11</v>
      </c>
      <c r="I252" s="12"/>
      <c r="J252" s="12" t="s">
        <v>87</v>
      </c>
      <c r="K252" s="12" t="b">
        <v>0</v>
      </c>
      <c r="L252" s="12">
        <v>2</v>
      </c>
      <c r="M252" s="8">
        <v>2016</v>
      </c>
      <c r="N252" s="9">
        <v>0</v>
      </c>
      <c r="O252" s="13">
        <v>41815</v>
      </c>
      <c r="P252" s="13">
        <v>41815</v>
      </c>
    </row>
    <row r="253" spans="1:16">
      <c r="A253" s="10">
        <v>2014</v>
      </c>
      <c r="B253" s="11" t="s">
        <v>483</v>
      </c>
      <c r="C253" s="11" t="s">
        <v>484</v>
      </c>
      <c r="D253" s="12">
        <v>1015042</v>
      </c>
      <c r="E253" s="12">
        <v>2</v>
      </c>
      <c r="F253" s="12"/>
      <c r="G253" s="12">
        <v>570</v>
      </c>
      <c r="H253" s="12">
        <v>11</v>
      </c>
      <c r="I253" s="12"/>
      <c r="J253" s="12" t="s">
        <v>87</v>
      </c>
      <c r="K253" s="12" t="b">
        <v>0</v>
      </c>
      <c r="L253" s="12">
        <v>3</v>
      </c>
      <c r="M253" s="8">
        <v>2017</v>
      </c>
      <c r="N253" s="9">
        <v>0</v>
      </c>
      <c r="O253" s="13">
        <v>41815</v>
      </c>
      <c r="P253" s="13">
        <v>41815</v>
      </c>
    </row>
    <row r="254" spans="1:16">
      <c r="A254" s="10">
        <v>2014</v>
      </c>
      <c r="B254" s="11" t="s">
        <v>483</v>
      </c>
      <c r="C254" s="11" t="s">
        <v>484</v>
      </c>
      <c r="D254" s="12">
        <v>1015042</v>
      </c>
      <c r="E254" s="12">
        <v>2</v>
      </c>
      <c r="F254" s="12"/>
      <c r="G254" s="12">
        <v>570</v>
      </c>
      <c r="H254" s="12">
        <v>11</v>
      </c>
      <c r="I254" s="12"/>
      <c r="J254" s="12" t="s">
        <v>87</v>
      </c>
      <c r="K254" s="12" t="b">
        <v>0</v>
      </c>
      <c r="L254" s="12">
        <v>7</v>
      </c>
      <c r="M254" s="8">
        <v>2021</v>
      </c>
      <c r="N254" s="9">
        <v>0</v>
      </c>
      <c r="O254" s="13">
        <v>41815</v>
      </c>
      <c r="P254" s="13">
        <v>41815</v>
      </c>
    </row>
    <row r="255" spans="1:16">
      <c r="A255" s="10">
        <v>2014</v>
      </c>
      <c r="B255" s="11" t="s">
        <v>483</v>
      </c>
      <c r="C255" s="11" t="s">
        <v>484</v>
      </c>
      <c r="D255" s="12">
        <v>1015042</v>
      </c>
      <c r="E255" s="12">
        <v>2</v>
      </c>
      <c r="F255" s="12"/>
      <c r="G255" s="12">
        <v>570</v>
      </c>
      <c r="H255" s="12">
        <v>11</v>
      </c>
      <c r="I255" s="12"/>
      <c r="J255" s="12" t="s">
        <v>87</v>
      </c>
      <c r="K255" s="12" t="b">
        <v>0</v>
      </c>
      <c r="L255" s="12">
        <v>1</v>
      </c>
      <c r="M255" s="8">
        <v>2015</v>
      </c>
      <c r="N255" s="9">
        <v>0</v>
      </c>
      <c r="O255" s="13">
        <v>41815</v>
      </c>
      <c r="P255" s="13">
        <v>41815</v>
      </c>
    </row>
    <row r="256" spans="1:16">
      <c r="A256" s="10">
        <v>2014</v>
      </c>
      <c r="B256" s="11" t="s">
        <v>483</v>
      </c>
      <c r="C256" s="11" t="s">
        <v>484</v>
      </c>
      <c r="D256" s="12">
        <v>1015042</v>
      </c>
      <c r="E256" s="12">
        <v>2</v>
      </c>
      <c r="F256" s="12"/>
      <c r="G256" s="12">
        <v>320</v>
      </c>
      <c r="H256" s="12" t="s">
        <v>78</v>
      </c>
      <c r="I256" s="12" t="s">
        <v>369</v>
      </c>
      <c r="J256" s="12" t="s">
        <v>370</v>
      </c>
      <c r="K256" s="12" t="b">
        <v>1</v>
      </c>
      <c r="L256" s="12">
        <v>3</v>
      </c>
      <c r="M256" s="8">
        <v>2017</v>
      </c>
      <c r="N256" s="9">
        <v>0</v>
      </c>
      <c r="O256" s="13">
        <v>41815</v>
      </c>
      <c r="P256" s="13">
        <v>41815</v>
      </c>
    </row>
    <row r="257" spans="1:16">
      <c r="A257" s="10">
        <v>2014</v>
      </c>
      <c r="B257" s="11" t="s">
        <v>483</v>
      </c>
      <c r="C257" s="11" t="s">
        <v>484</v>
      </c>
      <c r="D257" s="12">
        <v>1015042</v>
      </c>
      <c r="E257" s="12">
        <v>2</v>
      </c>
      <c r="F257" s="12"/>
      <c r="G257" s="12">
        <v>320</v>
      </c>
      <c r="H257" s="12" t="s">
        <v>78</v>
      </c>
      <c r="I257" s="12" t="s">
        <v>369</v>
      </c>
      <c r="J257" s="12" t="s">
        <v>370</v>
      </c>
      <c r="K257" s="12" t="b">
        <v>1</v>
      </c>
      <c r="L257" s="12">
        <v>0</v>
      </c>
      <c r="M257" s="8">
        <v>2014</v>
      </c>
      <c r="N257" s="9">
        <v>0</v>
      </c>
      <c r="O257" s="13">
        <v>41815</v>
      </c>
      <c r="P257" s="13">
        <v>41815</v>
      </c>
    </row>
    <row r="258" spans="1:16">
      <c r="A258" s="10">
        <v>2014</v>
      </c>
      <c r="B258" s="11" t="s">
        <v>483</v>
      </c>
      <c r="C258" s="11" t="s">
        <v>484</v>
      </c>
      <c r="D258" s="12">
        <v>1015042</v>
      </c>
      <c r="E258" s="12">
        <v>2</v>
      </c>
      <c r="F258" s="12"/>
      <c r="G258" s="12">
        <v>320</v>
      </c>
      <c r="H258" s="12" t="s">
        <v>78</v>
      </c>
      <c r="I258" s="12" t="s">
        <v>369</v>
      </c>
      <c r="J258" s="12" t="s">
        <v>370</v>
      </c>
      <c r="K258" s="12" t="b">
        <v>1</v>
      </c>
      <c r="L258" s="12">
        <v>6</v>
      </c>
      <c r="M258" s="8">
        <v>2020</v>
      </c>
      <c r="N258" s="9">
        <v>0</v>
      </c>
      <c r="O258" s="13">
        <v>41815</v>
      </c>
      <c r="P258" s="13">
        <v>41815</v>
      </c>
    </row>
    <row r="259" spans="1:16">
      <c r="A259" s="10">
        <v>2014</v>
      </c>
      <c r="B259" s="11" t="s">
        <v>483</v>
      </c>
      <c r="C259" s="11" t="s">
        <v>484</v>
      </c>
      <c r="D259" s="12">
        <v>1015042</v>
      </c>
      <c r="E259" s="12">
        <v>2</v>
      </c>
      <c r="F259" s="12"/>
      <c r="G259" s="12">
        <v>320</v>
      </c>
      <c r="H259" s="12" t="s">
        <v>78</v>
      </c>
      <c r="I259" s="12" t="s">
        <v>369</v>
      </c>
      <c r="J259" s="12" t="s">
        <v>370</v>
      </c>
      <c r="K259" s="12" t="b">
        <v>1</v>
      </c>
      <c r="L259" s="12">
        <v>5</v>
      </c>
      <c r="M259" s="8">
        <v>2019</v>
      </c>
      <c r="N259" s="9">
        <v>0</v>
      </c>
      <c r="O259" s="13">
        <v>41815</v>
      </c>
      <c r="P259" s="13">
        <v>41815</v>
      </c>
    </row>
    <row r="260" spans="1:16">
      <c r="A260" s="10">
        <v>2014</v>
      </c>
      <c r="B260" s="11" t="s">
        <v>483</v>
      </c>
      <c r="C260" s="11" t="s">
        <v>484</v>
      </c>
      <c r="D260" s="12">
        <v>1015042</v>
      </c>
      <c r="E260" s="12">
        <v>2</v>
      </c>
      <c r="F260" s="12"/>
      <c r="G260" s="12">
        <v>320</v>
      </c>
      <c r="H260" s="12" t="s">
        <v>78</v>
      </c>
      <c r="I260" s="12" t="s">
        <v>369</v>
      </c>
      <c r="J260" s="12" t="s">
        <v>370</v>
      </c>
      <c r="K260" s="12" t="b">
        <v>1</v>
      </c>
      <c r="L260" s="12">
        <v>8</v>
      </c>
      <c r="M260" s="8">
        <v>2022</v>
      </c>
      <c r="N260" s="9">
        <v>0</v>
      </c>
      <c r="O260" s="13">
        <v>41815</v>
      </c>
      <c r="P260" s="13">
        <v>41815</v>
      </c>
    </row>
    <row r="261" spans="1:16">
      <c r="A261" s="10">
        <v>2014</v>
      </c>
      <c r="B261" s="11" t="s">
        <v>483</v>
      </c>
      <c r="C261" s="11" t="s">
        <v>484</v>
      </c>
      <c r="D261" s="12">
        <v>1015042</v>
      </c>
      <c r="E261" s="12">
        <v>2</v>
      </c>
      <c r="F261" s="12"/>
      <c r="G261" s="12">
        <v>320</v>
      </c>
      <c r="H261" s="12" t="s">
        <v>78</v>
      </c>
      <c r="I261" s="12" t="s">
        <v>369</v>
      </c>
      <c r="J261" s="12" t="s">
        <v>370</v>
      </c>
      <c r="K261" s="12" t="b">
        <v>1</v>
      </c>
      <c r="L261" s="12">
        <v>2</v>
      </c>
      <c r="M261" s="8">
        <v>2016</v>
      </c>
      <c r="N261" s="9">
        <v>0</v>
      </c>
      <c r="O261" s="13">
        <v>41815</v>
      </c>
      <c r="P261" s="13">
        <v>41815</v>
      </c>
    </row>
    <row r="262" spans="1:16">
      <c r="A262" s="10">
        <v>2014</v>
      </c>
      <c r="B262" s="11" t="s">
        <v>483</v>
      </c>
      <c r="C262" s="11" t="s">
        <v>484</v>
      </c>
      <c r="D262" s="12">
        <v>1015042</v>
      </c>
      <c r="E262" s="12">
        <v>2</v>
      </c>
      <c r="F262" s="12"/>
      <c r="G262" s="12">
        <v>320</v>
      </c>
      <c r="H262" s="12" t="s">
        <v>78</v>
      </c>
      <c r="I262" s="12" t="s">
        <v>369</v>
      </c>
      <c r="J262" s="12" t="s">
        <v>370</v>
      </c>
      <c r="K262" s="12" t="b">
        <v>1</v>
      </c>
      <c r="L262" s="12">
        <v>4</v>
      </c>
      <c r="M262" s="8">
        <v>2018</v>
      </c>
      <c r="N262" s="9">
        <v>0</v>
      </c>
      <c r="O262" s="13">
        <v>41815</v>
      </c>
      <c r="P262" s="13">
        <v>41815</v>
      </c>
    </row>
    <row r="263" spans="1:16">
      <c r="A263" s="10">
        <v>2014</v>
      </c>
      <c r="B263" s="11" t="s">
        <v>483</v>
      </c>
      <c r="C263" s="11" t="s">
        <v>484</v>
      </c>
      <c r="D263" s="12">
        <v>1015042</v>
      </c>
      <c r="E263" s="12">
        <v>2</v>
      </c>
      <c r="F263" s="12"/>
      <c r="G263" s="12">
        <v>320</v>
      </c>
      <c r="H263" s="12" t="s">
        <v>78</v>
      </c>
      <c r="I263" s="12" t="s">
        <v>369</v>
      </c>
      <c r="J263" s="12" t="s">
        <v>370</v>
      </c>
      <c r="K263" s="12" t="b">
        <v>1</v>
      </c>
      <c r="L263" s="12">
        <v>1</v>
      </c>
      <c r="M263" s="8">
        <v>2015</v>
      </c>
      <c r="N263" s="9">
        <v>0</v>
      </c>
      <c r="O263" s="13">
        <v>41815</v>
      </c>
      <c r="P263" s="13">
        <v>41815</v>
      </c>
    </row>
    <row r="264" spans="1:16">
      <c r="A264" s="10">
        <v>2014</v>
      </c>
      <c r="B264" s="11" t="s">
        <v>483</v>
      </c>
      <c r="C264" s="11" t="s">
        <v>484</v>
      </c>
      <c r="D264" s="12">
        <v>1015042</v>
      </c>
      <c r="E264" s="12">
        <v>2</v>
      </c>
      <c r="F264" s="12"/>
      <c r="G264" s="12">
        <v>320</v>
      </c>
      <c r="H264" s="12" t="s">
        <v>78</v>
      </c>
      <c r="I264" s="12" t="s">
        <v>369</v>
      </c>
      <c r="J264" s="12" t="s">
        <v>370</v>
      </c>
      <c r="K264" s="12" t="b">
        <v>1</v>
      </c>
      <c r="L264" s="12">
        <v>7</v>
      </c>
      <c r="M264" s="8">
        <v>2021</v>
      </c>
      <c r="N264" s="9">
        <v>0</v>
      </c>
      <c r="O264" s="13">
        <v>41815</v>
      </c>
      <c r="P264" s="13">
        <v>41815</v>
      </c>
    </row>
    <row r="265" spans="1:16">
      <c r="A265" s="10">
        <v>2014</v>
      </c>
      <c r="B265" s="11" t="s">
        <v>483</v>
      </c>
      <c r="C265" s="11" t="s">
        <v>484</v>
      </c>
      <c r="D265" s="12">
        <v>1015042</v>
      </c>
      <c r="E265" s="12">
        <v>2</v>
      </c>
      <c r="F265" s="12"/>
      <c r="G265" s="12">
        <v>410</v>
      </c>
      <c r="H265" s="12">
        <v>8</v>
      </c>
      <c r="I265" s="12"/>
      <c r="J265" s="12" t="s">
        <v>146</v>
      </c>
      <c r="K265" s="12" t="b">
        <v>1</v>
      </c>
      <c r="L265" s="12">
        <v>4</v>
      </c>
      <c r="M265" s="8">
        <v>2018</v>
      </c>
      <c r="N265" s="9">
        <v>0</v>
      </c>
      <c r="O265" s="13">
        <v>41815</v>
      </c>
      <c r="P265" s="13">
        <v>41815</v>
      </c>
    </row>
    <row r="266" spans="1:16">
      <c r="A266" s="10">
        <v>2014</v>
      </c>
      <c r="B266" s="11" t="s">
        <v>483</v>
      </c>
      <c r="C266" s="11" t="s">
        <v>484</v>
      </c>
      <c r="D266" s="12">
        <v>1015042</v>
      </c>
      <c r="E266" s="12">
        <v>2</v>
      </c>
      <c r="F266" s="12"/>
      <c r="G266" s="12">
        <v>410</v>
      </c>
      <c r="H266" s="12">
        <v>8</v>
      </c>
      <c r="I266" s="12"/>
      <c r="J266" s="12" t="s">
        <v>146</v>
      </c>
      <c r="K266" s="12" t="b">
        <v>1</v>
      </c>
      <c r="L266" s="12">
        <v>8</v>
      </c>
      <c r="M266" s="8">
        <v>2022</v>
      </c>
      <c r="N266" s="9">
        <v>0</v>
      </c>
      <c r="O266" s="13">
        <v>41815</v>
      </c>
      <c r="P266" s="13">
        <v>41815</v>
      </c>
    </row>
    <row r="267" spans="1:16">
      <c r="A267" s="10">
        <v>2014</v>
      </c>
      <c r="B267" s="11" t="s">
        <v>483</v>
      </c>
      <c r="C267" s="11" t="s">
        <v>484</v>
      </c>
      <c r="D267" s="12">
        <v>1015042</v>
      </c>
      <c r="E267" s="12">
        <v>2</v>
      </c>
      <c r="F267" s="12"/>
      <c r="G267" s="12">
        <v>410</v>
      </c>
      <c r="H267" s="12">
        <v>8</v>
      </c>
      <c r="I267" s="12"/>
      <c r="J267" s="12" t="s">
        <v>146</v>
      </c>
      <c r="K267" s="12" t="b">
        <v>1</v>
      </c>
      <c r="L267" s="12">
        <v>1</v>
      </c>
      <c r="M267" s="8">
        <v>2015</v>
      </c>
      <c r="N267" s="9">
        <v>0</v>
      </c>
      <c r="O267" s="13">
        <v>41815</v>
      </c>
      <c r="P267" s="13">
        <v>41815</v>
      </c>
    </row>
    <row r="268" spans="1:16">
      <c r="A268" s="10">
        <v>2014</v>
      </c>
      <c r="B268" s="11" t="s">
        <v>483</v>
      </c>
      <c r="C268" s="11" t="s">
        <v>484</v>
      </c>
      <c r="D268" s="12">
        <v>1015042</v>
      </c>
      <c r="E268" s="12">
        <v>2</v>
      </c>
      <c r="F268" s="12"/>
      <c r="G268" s="12">
        <v>410</v>
      </c>
      <c r="H268" s="12">
        <v>8</v>
      </c>
      <c r="I268" s="12"/>
      <c r="J268" s="12" t="s">
        <v>146</v>
      </c>
      <c r="K268" s="12" t="b">
        <v>1</v>
      </c>
      <c r="L268" s="12">
        <v>0</v>
      </c>
      <c r="M268" s="8">
        <v>2014</v>
      </c>
      <c r="N268" s="9">
        <v>0</v>
      </c>
      <c r="O268" s="13">
        <v>41815</v>
      </c>
      <c r="P268" s="13">
        <v>41815</v>
      </c>
    </row>
    <row r="269" spans="1:16">
      <c r="A269" s="10">
        <v>2014</v>
      </c>
      <c r="B269" s="11" t="s">
        <v>483</v>
      </c>
      <c r="C269" s="11" t="s">
        <v>484</v>
      </c>
      <c r="D269" s="12">
        <v>1015042</v>
      </c>
      <c r="E269" s="12">
        <v>2</v>
      </c>
      <c r="F269" s="12"/>
      <c r="G269" s="12">
        <v>410</v>
      </c>
      <c r="H269" s="12">
        <v>8</v>
      </c>
      <c r="I269" s="12"/>
      <c r="J269" s="12" t="s">
        <v>146</v>
      </c>
      <c r="K269" s="12" t="b">
        <v>1</v>
      </c>
      <c r="L269" s="12">
        <v>7</v>
      </c>
      <c r="M269" s="8">
        <v>2021</v>
      </c>
      <c r="N269" s="9">
        <v>0</v>
      </c>
      <c r="O269" s="13">
        <v>41815</v>
      </c>
      <c r="P269" s="13">
        <v>41815</v>
      </c>
    </row>
    <row r="270" spans="1:16">
      <c r="A270" s="10">
        <v>2014</v>
      </c>
      <c r="B270" s="11" t="s">
        <v>483</v>
      </c>
      <c r="C270" s="11" t="s">
        <v>484</v>
      </c>
      <c r="D270" s="12">
        <v>1015042</v>
      </c>
      <c r="E270" s="12">
        <v>2</v>
      </c>
      <c r="F270" s="12"/>
      <c r="G270" s="12">
        <v>410</v>
      </c>
      <c r="H270" s="12">
        <v>8</v>
      </c>
      <c r="I270" s="12"/>
      <c r="J270" s="12" t="s">
        <v>146</v>
      </c>
      <c r="K270" s="12" t="b">
        <v>1</v>
      </c>
      <c r="L270" s="12">
        <v>6</v>
      </c>
      <c r="M270" s="8">
        <v>2020</v>
      </c>
      <c r="N270" s="9">
        <v>0</v>
      </c>
      <c r="O270" s="13">
        <v>41815</v>
      </c>
      <c r="P270" s="13">
        <v>41815</v>
      </c>
    </row>
    <row r="271" spans="1:16">
      <c r="A271" s="10">
        <v>2014</v>
      </c>
      <c r="B271" s="11" t="s">
        <v>483</v>
      </c>
      <c r="C271" s="11" t="s">
        <v>484</v>
      </c>
      <c r="D271" s="12">
        <v>1015042</v>
      </c>
      <c r="E271" s="12">
        <v>2</v>
      </c>
      <c r="F271" s="12"/>
      <c r="G271" s="12">
        <v>410</v>
      </c>
      <c r="H271" s="12">
        <v>8</v>
      </c>
      <c r="I271" s="12"/>
      <c r="J271" s="12" t="s">
        <v>146</v>
      </c>
      <c r="K271" s="12" t="b">
        <v>1</v>
      </c>
      <c r="L271" s="12">
        <v>3</v>
      </c>
      <c r="M271" s="8">
        <v>2017</v>
      </c>
      <c r="N271" s="9">
        <v>0</v>
      </c>
      <c r="O271" s="13">
        <v>41815</v>
      </c>
      <c r="P271" s="13">
        <v>41815</v>
      </c>
    </row>
    <row r="272" spans="1:16">
      <c r="A272" s="10">
        <v>2014</v>
      </c>
      <c r="B272" s="11" t="s">
        <v>483</v>
      </c>
      <c r="C272" s="11" t="s">
        <v>484</v>
      </c>
      <c r="D272" s="12">
        <v>1015042</v>
      </c>
      <c r="E272" s="12">
        <v>2</v>
      </c>
      <c r="F272" s="12"/>
      <c r="G272" s="12">
        <v>410</v>
      </c>
      <c r="H272" s="12">
        <v>8</v>
      </c>
      <c r="I272" s="12"/>
      <c r="J272" s="12" t="s">
        <v>146</v>
      </c>
      <c r="K272" s="12" t="b">
        <v>1</v>
      </c>
      <c r="L272" s="12">
        <v>5</v>
      </c>
      <c r="M272" s="8">
        <v>2019</v>
      </c>
      <c r="N272" s="9">
        <v>0</v>
      </c>
      <c r="O272" s="13">
        <v>41815</v>
      </c>
      <c r="P272" s="13">
        <v>41815</v>
      </c>
    </row>
    <row r="273" spans="1:16">
      <c r="A273" s="10">
        <v>2014</v>
      </c>
      <c r="B273" s="11" t="s">
        <v>483</v>
      </c>
      <c r="C273" s="11" t="s">
        <v>484</v>
      </c>
      <c r="D273" s="12">
        <v>1015042</v>
      </c>
      <c r="E273" s="12">
        <v>2</v>
      </c>
      <c r="F273" s="12"/>
      <c r="G273" s="12">
        <v>410</v>
      </c>
      <c r="H273" s="12">
        <v>8</v>
      </c>
      <c r="I273" s="12"/>
      <c r="J273" s="12" t="s">
        <v>146</v>
      </c>
      <c r="K273" s="12" t="b">
        <v>1</v>
      </c>
      <c r="L273" s="12">
        <v>2</v>
      </c>
      <c r="M273" s="8">
        <v>2016</v>
      </c>
      <c r="N273" s="9">
        <v>0</v>
      </c>
      <c r="O273" s="13">
        <v>41815</v>
      </c>
      <c r="P273" s="13">
        <v>41815</v>
      </c>
    </row>
    <row r="274" spans="1:16">
      <c r="A274" s="10">
        <v>2014</v>
      </c>
      <c r="B274" s="11" t="s">
        <v>483</v>
      </c>
      <c r="C274" s="11" t="s">
        <v>484</v>
      </c>
      <c r="D274" s="12">
        <v>1015042</v>
      </c>
      <c r="E274" s="12">
        <v>2</v>
      </c>
      <c r="F274" s="12"/>
      <c r="G274" s="12">
        <v>880</v>
      </c>
      <c r="H274" s="12">
        <v>14.1</v>
      </c>
      <c r="I274" s="12"/>
      <c r="J274" s="12" t="s">
        <v>127</v>
      </c>
      <c r="K274" s="12" t="b">
        <v>1</v>
      </c>
      <c r="L274" s="12">
        <v>6</v>
      </c>
      <c r="M274" s="8">
        <v>2020</v>
      </c>
      <c r="N274" s="9">
        <v>80000</v>
      </c>
      <c r="O274" s="13">
        <v>41815</v>
      </c>
      <c r="P274" s="13">
        <v>41815</v>
      </c>
    </row>
    <row r="275" spans="1:16">
      <c r="A275" s="10">
        <v>2014</v>
      </c>
      <c r="B275" s="11" t="s">
        <v>483</v>
      </c>
      <c r="C275" s="11" t="s">
        <v>484</v>
      </c>
      <c r="D275" s="12">
        <v>1015042</v>
      </c>
      <c r="E275" s="12">
        <v>2</v>
      </c>
      <c r="F275" s="12"/>
      <c r="G275" s="12">
        <v>880</v>
      </c>
      <c r="H275" s="12">
        <v>14.1</v>
      </c>
      <c r="I275" s="12"/>
      <c r="J275" s="12" t="s">
        <v>127</v>
      </c>
      <c r="K275" s="12" t="b">
        <v>1</v>
      </c>
      <c r="L275" s="12">
        <v>2</v>
      </c>
      <c r="M275" s="8">
        <v>2016</v>
      </c>
      <c r="N275" s="9">
        <v>466457</v>
      </c>
      <c r="O275" s="13">
        <v>41815</v>
      </c>
      <c r="P275" s="13">
        <v>41815</v>
      </c>
    </row>
    <row r="276" spans="1:16">
      <c r="A276" s="10">
        <v>2014</v>
      </c>
      <c r="B276" s="11" t="s">
        <v>483</v>
      </c>
      <c r="C276" s="11" t="s">
        <v>484</v>
      </c>
      <c r="D276" s="12">
        <v>1015042</v>
      </c>
      <c r="E276" s="12">
        <v>2</v>
      </c>
      <c r="F276" s="12"/>
      <c r="G276" s="12">
        <v>880</v>
      </c>
      <c r="H276" s="12">
        <v>14.1</v>
      </c>
      <c r="I276" s="12"/>
      <c r="J276" s="12" t="s">
        <v>127</v>
      </c>
      <c r="K276" s="12" t="b">
        <v>1</v>
      </c>
      <c r="L276" s="12">
        <v>4</v>
      </c>
      <c r="M276" s="8">
        <v>2018</v>
      </c>
      <c r="N276" s="9">
        <v>174705</v>
      </c>
      <c r="O276" s="13">
        <v>41815</v>
      </c>
      <c r="P276" s="13">
        <v>41815</v>
      </c>
    </row>
    <row r="277" spans="1:16">
      <c r="A277" s="10">
        <v>2014</v>
      </c>
      <c r="B277" s="11" t="s">
        <v>483</v>
      </c>
      <c r="C277" s="11" t="s">
        <v>484</v>
      </c>
      <c r="D277" s="12">
        <v>1015042</v>
      </c>
      <c r="E277" s="12">
        <v>2</v>
      </c>
      <c r="F277" s="12"/>
      <c r="G277" s="12">
        <v>880</v>
      </c>
      <c r="H277" s="12">
        <v>14.1</v>
      </c>
      <c r="I277" s="12"/>
      <c r="J277" s="12" t="s">
        <v>127</v>
      </c>
      <c r="K277" s="12" t="b">
        <v>1</v>
      </c>
      <c r="L277" s="12">
        <v>0</v>
      </c>
      <c r="M277" s="8">
        <v>2014</v>
      </c>
      <c r="N277" s="9">
        <v>472621</v>
      </c>
      <c r="O277" s="13">
        <v>41815</v>
      </c>
      <c r="P277" s="13">
        <v>41815</v>
      </c>
    </row>
    <row r="278" spans="1:16">
      <c r="A278" s="10">
        <v>2014</v>
      </c>
      <c r="B278" s="11" t="s">
        <v>483</v>
      </c>
      <c r="C278" s="11" t="s">
        <v>484</v>
      </c>
      <c r="D278" s="12">
        <v>1015042</v>
      </c>
      <c r="E278" s="12">
        <v>2</v>
      </c>
      <c r="F278" s="12"/>
      <c r="G278" s="12">
        <v>880</v>
      </c>
      <c r="H278" s="12">
        <v>14.1</v>
      </c>
      <c r="I278" s="12"/>
      <c r="J278" s="12" t="s">
        <v>127</v>
      </c>
      <c r="K278" s="12" t="b">
        <v>1</v>
      </c>
      <c r="L278" s="12">
        <v>3</v>
      </c>
      <c r="M278" s="8">
        <v>2017</v>
      </c>
      <c r="N278" s="9">
        <v>358794</v>
      </c>
      <c r="O278" s="13">
        <v>41815</v>
      </c>
      <c r="P278" s="13">
        <v>41815</v>
      </c>
    </row>
    <row r="279" spans="1:16">
      <c r="A279" s="10">
        <v>2014</v>
      </c>
      <c r="B279" s="11" t="s">
        <v>483</v>
      </c>
      <c r="C279" s="11" t="s">
        <v>484</v>
      </c>
      <c r="D279" s="12">
        <v>1015042</v>
      </c>
      <c r="E279" s="12">
        <v>2</v>
      </c>
      <c r="F279" s="12"/>
      <c r="G279" s="12">
        <v>880</v>
      </c>
      <c r="H279" s="12">
        <v>14.1</v>
      </c>
      <c r="I279" s="12"/>
      <c r="J279" s="12" t="s">
        <v>127</v>
      </c>
      <c r="K279" s="12" t="b">
        <v>1</v>
      </c>
      <c r="L279" s="12">
        <v>5</v>
      </c>
      <c r="M279" s="8">
        <v>2019</v>
      </c>
      <c r="N279" s="9">
        <v>120000</v>
      </c>
      <c r="O279" s="13">
        <v>41815</v>
      </c>
      <c r="P279" s="13">
        <v>41815</v>
      </c>
    </row>
    <row r="280" spans="1:16">
      <c r="A280" s="10">
        <v>2014</v>
      </c>
      <c r="B280" s="11" t="s">
        <v>483</v>
      </c>
      <c r="C280" s="11" t="s">
        <v>484</v>
      </c>
      <c r="D280" s="12">
        <v>1015042</v>
      </c>
      <c r="E280" s="12">
        <v>2</v>
      </c>
      <c r="F280" s="12"/>
      <c r="G280" s="12">
        <v>880</v>
      </c>
      <c r="H280" s="12">
        <v>14.1</v>
      </c>
      <c r="I280" s="12"/>
      <c r="J280" s="12" t="s">
        <v>127</v>
      </c>
      <c r="K280" s="12" t="b">
        <v>1</v>
      </c>
      <c r="L280" s="12">
        <v>7</v>
      </c>
      <c r="M280" s="8">
        <v>2021</v>
      </c>
      <c r="N280" s="9">
        <v>0</v>
      </c>
      <c r="O280" s="13">
        <v>41815</v>
      </c>
      <c r="P280" s="13">
        <v>41815</v>
      </c>
    </row>
    <row r="281" spans="1:16">
      <c r="A281" s="10">
        <v>2014</v>
      </c>
      <c r="B281" s="11" t="s">
        <v>483</v>
      </c>
      <c r="C281" s="11" t="s">
        <v>484</v>
      </c>
      <c r="D281" s="12">
        <v>1015042</v>
      </c>
      <c r="E281" s="12">
        <v>2</v>
      </c>
      <c r="F281" s="12"/>
      <c r="G281" s="12">
        <v>880</v>
      </c>
      <c r="H281" s="12">
        <v>14.1</v>
      </c>
      <c r="I281" s="12"/>
      <c r="J281" s="12" t="s">
        <v>127</v>
      </c>
      <c r="K281" s="12" t="b">
        <v>1</v>
      </c>
      <c r="L281" s="12">
        <v>8</v>
      </c>
      <c r="M281" s="8">
        <v>2022</v>
      </c>
      <c r="N281" s="9">
        <v>0</v>
      </c>
      <c r="O281" s="13">
        <v>41815</v>
      </c>
      <c r="P281" s="13">
        <v>41815</v>
      </c>
    </row>
    <row r="282" spans="1:16">
      <c r="A282" s="10">
        <v>2014</v>
      </c>
      <c r="B282" s="11" t="s">
        <v>483</v>
      </c>
      <c r="C282" s="11" t="s">
        <v>484</v>
      </c>
      <c r="D282" s="12">
        <v>1015042</v>
      </c>
      <c r="E282" s="12">
        <v>2</v>
      </c>
      <c r="F282" s="12"/>
      <c r="G282" s="12">
        <v>880</v>
      </c>
      <c r="H282" s="12">
        <v>14.1</v>
      </c>
      <c r="I282" s="12"/>
      <c r="J282" s="12" t="s">
        <v>127</v>
      </c>
      <c r="K282" s="12" t="b">
        <v>1</v>
      </c>
      <c r="L282" s="12">
        <v>1</v>
      </c>
      <c r="M282" s="8">
        <v>2015</v>
      </c>
      <c r="N282" s="9">
        <v>474692</v>
      </c>
      <c r="O282" s="13">
        <v>41815</v>
      </c>
      <c r="P282" s="13">
        <v>41815</v>
      </c>
    </row>
    <row r="283" spans="1:16">
      <c r="A283" s="10">
        <v>2014</v>
      </c>
      <c r="B283" s="11" t="s">
        <v>483</v>
      </c>
      <c r="C283" s="11" t="s">
        <v>484</v>
      </c>
      <c r="D283" s="12">
        <v>1015042</v>
      </c>
      <c r="E283" s="12">
        <v>2</v>
      </c>
      <c r="F283" s="12"/>
      <c r="G283" s="12">
        <v>340</v>
      </c>
      <c r="H283" s="12">
        <v>5.2</v>
      </c>
      <c r="I283" s="12"/>
      <c r="J283" s="12" t="s">
        <v>80</v>
      </c>
      <c r="K283" s="12" t="b">
        <v>0</v>
      </c>
      <c r="L283" s="12">
        <v>0</v>
      </c>
      <c r="M283" s="8">
        <v>2014</v>
      </c>
      <c r="N283" s="9">
        <v>0</v>
      </c>
      <c r="O283" s="13">
        <v>41815</v>
      </c>
      <c r="P283" s="13">
        <v>41815</v>
      </c>
    </row>
    <row r="284" spans="1:16">
      <c r="A284" s="10">
        <v>2014</v>
      </c>
      <c r="B284" s="11" t="s">
        <v>483</v>
      </c>
      <c r="C284" s="11" t="s">
        <v>484</v>
      </c>
      <c r="D284" s="12">
        <v>1015042</v>
      </c>
      <c r="E284" s="12">
        <v>2</v>
      </c>
      <c r="F284" s="12"/>
      <c r="G284" s="12">
        <v>340</v>
      </c>
      <c r="H284" s="12">
        <v>5.2</v>
      </c>
      <c r="I284" s="12"/>
      <c r="J284" s="12" t="s">
        <v>80</v>
      </c>
      <c r="K284" s="12" t="b">
        <v>0</v>
      </c>
      <c r="L284" s="12">
        <v>6</v>
      </c>
      <c r="M284" s="8">
        <v>2020</v>
      </c>
      <c r="N284" s="9">
        <v>0</v>
      </c>
      <c r="O284" s="13">
        <v>41815</v>
      </c>
      <c r="P284" s="13">
        <v>41815</v>
      </c>
    </row>
    <row r="285" spans="1:16">
      <c r="A285" s="10">
        <v>2014</v>
      </c>
      <c r="B285" s="11" t="s">
        <v>483</v>
      </c>
      <c r="C285" s="11" t="s">
        <v>484</v>
      </c>
      <c r="D285" s="12">
        <v>1015042</v>
      </c>
      <c r="E285" s="12">
        <v>2</v>
      </c>
      <c r="F285" s="12"/>
      <c r="G285" s="12">
        <v>340</v>
      </c>
      <c r="H285" s="12">
        <v>5.2</v>
      </c>
      <c r="I285" s="12"/>
      <c r="J285" s="12" t="s">
        <v>80</v>
      </c>
      <c r="K285" s="12" t="b">
        <v>0</v>
      </c>
      <c r="L285" s="12">
        <v>5</v>
      </c>
      <c r="M285" s="8">
        <v>2019</v>
      </c>
      <c r="N285" s="9">
        <v>0</v>
      </c>
      <c r="O285" s="13">
        <v>41815</v>
      </c>
      <c r="P285" s="13">
        <v>41815</v>
      </c>
    </row>
    <row r="286" spans="1:16">
      <c r="A286" s="10">
        <v>2014</v>
      </c>
      <c r="B286" s="11" t="s">
        <v>483</v>
      </c>
      <c r="C286" s="11" t="s">
        <v>484</v>
      </c>
      <c r="D286" s="12">
        <v>1015042</v>
      </c>
      <c r="E286" s="12">
        <v>2</v>
      </c>
      <c r="F286" s="12"/>
      <c r="G286" s="12">
        <v>340</v>
      </c>
      <c r="H286" s="12">
        <v>5.2</v>
      </c>
      <c r="I286" s="12"/>
      <c r="J286" s="12" t="s">
        <v>80</v>
      </c>
      <c r="K286" s="12" t="b">
        <v>0</v>
      </c>
      <c r="L286" s="12">
        <v>3</v>
      </c>
      <c r="M286" s="8">
        <v>2017</v>
      </c>
      <c r="N286" s="9">
        <v>0</v>
      </c>
      <c r="O286" s="13">
        <v>41815</v>
      </c>
      <c r="P286" s="13">
        <v>41815</v>
      </c>
    </row>
    <row r="287" spans="1:16">
      <c r="A287" s="10">
        <v>2014</v>
      </c>
      <c r="B287" s="11" t="s">
        <v>483</v>
      </c>
      <c r="C287" s="11" t="s">
        <v>484</v>
      </c>
      <c r="D287" s="12">
        <v>1015042</v>
      </c>
      <c r="E287" s="12">
        <v>2</v>
      </c>
      <c r="F287" s="12"/>
      <c r="G287" s="12">
        <v>340</v>
      </c>
      <c r="H287" s="12">
        <v>5.2</v>
      </c>
      <c r="I287" s="12"/>
      <c r="J287" s="12" t="s">
        <v>80</v>
      </c>
      <c r="K287" s="12" t="b">
        <v>0</v>
      </c>
      <c r="L287" s="12">
        <v>2</v>
      </c>
      <c r="M287" s="8">
        <v>2016</v>
      </c>
      <c r="N287" s="9">
        <v>0</v>
      </c>
      <c r="O287" s="13">
        <v>41815</v>
      </c>
      <c r="P287" s="13">
        <v>41815</v>
      </c>
    </row>
    <row r="288" spans="1:16">
      <c r="A288" s="10">
        <v>2014</v>
      </c>
      <c r="B288" s="11" t="s">
        <v>483</v>
      </c>
      <c r="C288" s="11" t="s">
        <v>484</v>
      </c>
      <c r="D288" s="12">
        <v>1015042</v>
      </c>
      <c r="E288" s="12">
        <v>2</v>
      </c>
      <c r="F288" s="12"/>
      <c r="G288" s="12">
        <v>340</v>
      </c>
      <c r="H288" s="12">
        <v>5.2</v>
      </c>
      <c r="I288" s="12"/>
      <c r="J288" s="12" t="s">
        <v>80</v>
      </c>
      <c r="K288" s="12" t="b">
        <v>0</v>
      </c>
      <c r="L288" s="12">
        <v>4</v>
      </c>
      <c r="M288" s="8">
        <v>2018</v>
      </c>
      <c r="N288" s="9">
        <v>0</v>
      </c>
      <c r="O288" s="13">
        <v>41815</v>
      </c>
      <c r="P288" s="13">
        <v>41815</v>
      </c>
    </row>
    <row r="289" spans="1:16">
      <c r="A289" s="10">
        <v>2014</v>
      </c>
      <c r="B289" s="11" t="s">
        <v>483</v>
      </c>
      <c r="C289" s="11" t="s">
        <v>484</v>
      </c>
      <c r="D289" s="12">
        <v>1015042</v>
      </c>
      <c r="E289" s="12">
        <v>2</v>
      </c>
      <c r="F289" s="12"/>
      <c r="G289" s="12">
        <v>340</v>
      </c>
      <c r="H289" s="12">
        <v>5.2</v>
      </c>
      <c r="I289" s="12"/>
      <c r="J289" s="12" t="s">
        <v>80</v>
      </c>
      <c r="K289" s="12" t="b">
        <v>0</v>
      </c>
      <c r="L289" s="12">
        <v>7</v>
      </c>
      <c r="M289" s="8">
        <v>2021</v>
      </c>
      <c r="N289" s="9">
        <v>0</v>
      </c>
      <c r="O289" s="13">
        <v>41815</v>
      </c>
      <c r="P289" s="13">
        <v>41815</v>
      </c>
    </row>
    <row r="290" spans="1:16">
      <c r="A290" s="10">
        <v>2014</v>
      </c>
      <c r="B290" s="11" t="s">
        <v>483</v>
      </c>
      <c r="C290" s="11" t="s">
        <v>484</v>
      </c>
      <c r="D290" s="12">
        <v>1015042</v>
      </c>
      <c r="E290" s="12">
        <v>2</v>
      </c>
      <c r="F290" s="12"/>
      <c r="G290" s="12">
        <v>340</v>
      </c>
      <c r="H290" s="12">
        <v>5.2</v>
      </c>
      <c r="I290" s="12"/>
      <c r="J290" s="12" t="s">
        <v>80</v>
      </c>
      <c r="K290" s="12" t="b">
        <v>0</v>
      </c>
      <c r="L290" s="12">
        <v>8</v>
      </c>
      <c r="M290" s="8">
        <v>2022</v>
      </c>
      <c r="N290" s="9">
        <v>0</v>
      </c>
      <c r="O290" s="13">
        <v>41815</v>
      </c>
      <c r="P290" s="13">
        <v>41815</v>
      </c>
    </row>
    <row r="291" spans="1:16">
      <c r="A291" s="10">
        <v>2014</v>
      </c>
      <c r="B291" s="11" t="s">
        <v>483</v>
      </c>
      <c r="C291" s="11" t="s">
        <v>484</v>
      </c>
      <c r="D291" s="12">
        <v>1015042</v>
      </c>
      <c r="E291" s="12">
        <v>2</v>
      </c>
      <c r="F291" s="12"/>
      <c r="G291" s="12">
        <v>340</v>
      </c>
      <c r="H291" s="12">
        <v>5.2</v>
      </c>
      <c r="I291" s="12"/>
      <c r="J291" s="12" t="s">
        <v>80</v>
      </c>
      <c r="K291" s="12" t="b">
        <v>0</v>
      </c>
      <c r="L291" s="12">
        <v>1</v>
      </c>
      <c r="M291" s="8">
        <v>2015</v>
      </c>
      <c r="N291" s="9">
        <v>0</v>
      </c>
      <c r="O291" s="13">
        <v>41815</v>
      </c>
      <c r="P291" s="13">
        <v>41815</v>
      </c>
    </row>
    <row r="292" spans="1:16">
      <c r="A292" s="10">
        <v>2014</v>
      </c>
      <c r="B292" s="11" t="s">
        <v>483</v>
      </c>
      <c r="C292" s="11" t="s">
        <v>484</v>
      </c>
      <c r="D292" s="12">
        <v>1015042</v>
      </c>
      <c r="E292" s="12">
        <v>2</v>
      </c>
      <c r="F292" s="12"/>
      <c r="G292" s="12">
        <v>790</v>
      </c>
      <c r="H292" s="12">
        <v>13</v>
      </c>
      <c r="I292" s="12"/>
      <c r="J292" s="12" t="s">
        <v>118</v>
      </c>
      <c r="K292" s="12" t="b">
        <v>1</v>
      </c>
      <c r="L292" s="12">
        <v>8</v>
      </c>
      <c r="M292" s="8">
        <v>2022</v>
      </c>
      <c r="N292" s="9">
        <v>0</v>
      </c>
      <c r="O292" s="13">
        <v>41815</v>
      </c>
      <c r="P292" s="13">
        <v>41815</v>
      </c>
    </row>
    <row r="293" spans="1:16">
      <c r="A293" s="10">
        <v>2014</v>
      </c>
      <c r="B293" s="11" t="s">
        <v>483</v>
      </c>
      <c r="C293" s="11" t="s">
        <v>484</v>
      </c>
      <c r="D293" s="12">
        <v>1015042</v>
      </c>
      <c r="E293" s="12">
        <v>2</v>
      </c>
      <c r="F293" s="12"/>
      <c r="G293" s="12">
        <v>790</v>
      </c>
      <c r="H293" s="12">
        <v>13</v>
      </c>
      <c r="I293" s="12"/>
      <c r="J293" s="12" t="s">
        <v>118</v>
      </c>
      <c r="K293" s="12" t="b">
        <v>1</v>
      </c>
      <c r="L293" s="12">
        <v>0</v>
      </c>
      <c r="M293" s="8">
        <v>2014</v>
      </c>
      <c r="N293" s="9">
        <v>0</v>
      </c>
      <c r="O293" s="13">
        <v>41815</v>
      </c>
      <c r="P293" s="13">
        <v>41815</v>
      </c>
    </row>
    <row r="294" spans="1:16">
      <c r="A294" s="10">
        <v>2014</v>
      </c>
      <c r="B294" s="11" t="s">
        <v>483</v>
      </c>
      <c r="C294" s="11" t="s">
        <v>484</v>
      </c>
      <c r="D294" s="12">
        <v>1015042</v>
      </c>
      <c r="E294" s="12">
        <v>2</v>
      </c>
      <c r="F294" s="12"/>
      <c r="G294" s="12">
        <v>790</v>
      </c>
      <c r="H294" s="12">
        <v>13</v>
      </c>
      <c r="I294" s="12"/>
      <c r="J294" s="12" t="s">
        <v>118</v>
      </c>
      <c r="K294" s="12" t="b">
        <v>1</v>
      </c>
      <c r="L294" s="12">
        <v>6</v>
      </c>
      <c r="M294" s="8">
        <v>2020</v>
      </c>
      <c r="N294" s="9">
        <v>0</v>
      </c>
      <c r="O294" s="13">
        <v>41815</v>
      </c>
      <c r="P294" s="13">
        <v>41815</v>
      </c>
    </row>
    <row r="295" spans="1:16">
      <c r="A295" s="10">
        <v>2014</v>
      </c>
      <c r="B295" s="11" t="s">
        <v>483</v>
      </c>
      <c r="C295" s="11" t="s">
        <v>484</v>
      </c>
      <c r="D295" s="12">
        <v>1015042</v>
      </c>
      <c r="E295" s="12">
        <v>2</v>
      </c>
      <c r="F295" s="12"/>
      <c r="G295" s="12">
        <v>790</v>
      </c>
      <c r="H295" s="12">
        <v>13</v>
      </c>
      <c r="I295" s="12"/>
      <c r="J295" s="12" t="s">
        <v>118</v>
      </c>
      <c r="K295" s="12" t="b">
        <v>1</v>
      </c>
      <c r="L295" s="12">
        <v>1</v>
      </c>
      <c r="M295" s="8">
        <v>2015</v>
      </c>
      <c r="N295" s="9">
        <v>0</v>
      </c>
      <c r="O295" s="13">
        <v>41815</v>
      </c>
      <c r="P295" s="13">
        <v>41815</v>
      </c>
    </row>
    <row r="296" spans="1:16">
      <c r="A296" s="10">
        <v>2014</v>
      </c>
      <c r="B296" s="11" t="s">
        <v>483</v>
      </c>
      <c r="C296" s="11" t="s">
        <v>484</v>
      </c>
      <c r="D296" s="12">
        <v>1015042</v>
      </c>
      <c r="E296" s="12">
        <v>2</v>
      </c>
      <c r="F296" s="12"/>
      <c r="G296" s="12">
        <v>790</v>
      </c>
      <c r="H296" s="12">
        <v>13</v>
      </c>
      <c r="I296" s="12"/>
      <c r="J296" s="12" t="s">
        <v>118</v>
      </c>
      <c r="K296" s="12" t="b">
        <v>1</v>
      </c>
      <c r="L296" s="12">
        <v>4</v>
      </c>
      <c r="M296" s="8">
        <v>2018</v>
      </c>
      <c r="N296" s="9">
        <v>0</v>
      </c>
      <c r="O296" s="13">
        <v>41815</v>
      </c>
      <c r="P296" s="13">
        <v>41815</v>
      </c>
    </row>
    <row r="297" spans="1:16">
      <c r="A297" s="10">
        <v>2014</v>
      </c>
      <c r="B297" s="11" t="s">
        <v>483</v>
      </c>
      <c r="C297" s="11" t="s">
        <v>484</v>
      </c>
      <c r="D297" s="12">
        <v>1015042</v>
      </c>
      <c r="E297" s="12">
        <v>2</v>
      </c>
      <c r="F297" s="12"/>
      <c r="G297" s="12">
        <v>790</v>
      </c>
      <c r="H297" s="12">
        <v>13</v>
      </c>
      <c r="I297" s="12"/>
      <c r="J297" s="12" t="s">
        <v>118</v>
      </c>
      <c r="K297" s="12" t="b">
        <v>1</v>
      </c>
      <c r="L297" s="12">
        <v>5</v>
      </c>
      <c r="M297" s="8">
        <v>2019</v>
      </c>
      <c r="N297" s="9">
        <v>0</v>
      </c>
      <c r="O297" s="13">
        <v>41815</v>
      </c>
      <c r="P297" s="13">
        <v>41815</v>
      </c>
    </row>
    <row r="298" spans="1:16">
      <c r="A298" s="10">
        <v>2014</v>
      </c>
      <c r="B298" s="11" t="s">
        <v>483</v>
      </c>
      <c r="C298" s="11" t="s">
        <v>484</v>
      </c>
      <c r="D298" s="12">
        <v>1015042</v>
      </c>
      <c r="E298" s="12">
        <v>2</v>
      </c>
      <c r="F298" s="12"/>
      <c r="G298" s="12">
        <v>790</v>
      </c>
      <c r="H298" s="12">
        <v>13</v>
      </c>
      <c r="I298" s="12"/>
      <c r="J298" s="12" t="s">
        <v>118</v>
      </c>
      <c r="K298" s="12" t="b">
        <v>1</v>
      </c>
      <c r="L298" s="12">
        <v>3</v>
      </c>
      <c r="M298" s="8">
        <v>2017</v>
      </c>
      <c r="N298" s="9">
        <v>0</v>
      </c>
      <c r="O298" s="13">
        <v>41815</v>
      </c>
      <c r="P298" s="13">
        <v>41815</v>
      </c>
    </row>
    <row r="299" spans="1:16">
      <c r="A299" s="10">
        <v>2014</v>
      </c>
      <c r="B299" s="11" t="s">
        <v>483</v>
      </c>
      <c r="C299" s="11" t="s">
        <v>484</v>
      </c>
      <c r="D299" s="12">
        <v>1015042</v>
      </c>
      <c r="E299" s="12">
        <v>2</v>
      </c>
      <c r="F299" s="12"/>
      <c r="G299" s="12">
        <v>790</v>
      </c>
      <c r="H299" s="12">
        <v>13</v>
      </c>
      <c r="I299" s="12"/>
      <c r="J299" s="12" t="s">
        <v>118</v>
      </c>
      <c r="K299" s="12" t="b">
        <v>1</v>
      </c>
      <c r="L299" s="12">
        <v>2</v>
      </c>
      <c r="M299" s="8">
        <v>2016</v>
      </c>
      <c r="N299" s="9">
        <v>0</v>
      </c>
      <c r="O299" s="13">
        <v>41815</v>
      </c>
      <c r="P299" s="13">
        <v>41815</v>
      </c>
    </row>
    <row r="300" spans="1:16">
      <c r="A300" s="10">
        <v>2014</v>
      </c>
      <c r="B300" s="11" t="s">
        <v>483</v>
      </c>
      <c r="C300" s="11" t="s">
        <v>484</v>
      </c>
      <c r="D300" s="12">
        <v>1015042</v>
      </c>
      <c r="E300" s="12">
        <v>2</v>
      </c>
      <c r="F300" s="12"/>
      <c r="G300" s="12">
        <v>790</v>
      </c>
      <c r="H300" s="12">
        <v>13</v>
      </c>
      <c r="I300" s="12"/>
      <c r="J300" s="12" t="s">
        <v>118</v>
      </c>
      <c r="K300" s="12" t="b">
        <v>1</v>
      </c>
      <c r="L300" s="12">
        <v>7</v>
      </c>
      <c r="M300" s="8">
        <v>2021</v>
      </c>
      <c r="N300" s="9">
        <v>0</v>
      </c>
      <c r="O300" s="13">
        <v>41815</v>
      </c>
      <c r="P300" s="13">
        <v>41815</v>
      </c>
    </row>
    <row r="301" spans="1:16">
      <c r="A301" s="10">
        <v>2014</v>
      </c>
      <c r="B301" s="11" t="s">
        <v>483</v>
      </c>
      <c r="C301" s="11" t="s">
        <v>484</v>
      </c>
      <c r="D301" s="12">
        <v>1015042</v>
      </c>
      <c r="E301" s="12">
        <v>2</v>
      </c>
      <c r="F301" s="12"/>
      <c r="G301" s="12">
        <v>650</v>
      </c>
      <c r="H301" s="12">
        <v>11.6</v>
      </c>
      <c r="I301" s="12"/>
      <c r="J301" s="12" t="s">
        <v>96</v>
      </c>
      <c r="K301" s="12" t="b">
        <v>1</v>
      </c>
      <c r="L301" s="12">
        <v>5</v>
      </c>
      <c r="M301" s="8">
        <v>2019</v>
      </c>
      <c r="N301" s="9">
        <v>0</v>
      </c>
      <c r="O301" s="13">
        <v>41815</v>
      </c>
      <c r="P301" s="13">
        <v>41815</v>
      </c>
    </row>
    <row r="302" spans="1:16">
      <c r="A302" s="10">
        <v>2014</v>
      </c>
      <c r="B302" s="11" t="s">
        <v>483</v>
      </c>
      <c r="C302" s="11" t="s">
        <v>484</v>
      </c>
      <c r="D302" s="12">
        <v>1015042</v>
      </c>
      <c r="E302" s="12">
        <v>2</v>
      </c>
      <c r="F302" s="12"/>
      <c r="G302" s="12">
        <v>650</v>
      </c>
      <c r="H302" s="12">
        <v>11.6</v>
      </c>
      <c r="I302" s="12"/>
      <c r="J302" s="12" t="s">
        <v>96</v>
      </c>
      <c r="K302" s="12" t="b">
        <v>1</v>
      </c>
      <c r="L302" s="12">
        <v>2</v>
      </c>
      <c r="M302" s="8">
        <v>2016</v>
      </c>
      <c r="N302" s="9">
        <v>0</v>
      </c>
      <c r="O302" s="13">
        <v>41815</v>
      </c>
      <c r="P302" s="13">
        <v>41815</v>
      </c>
    </row>
    <row r="303" spans="1:16">
      <c r="A303" s="10">
        <v>2014</v>
      </c>
      <c r="B303" s="11" t="s">
        <v>483</v>
      </c>
      <c r="C303" s="11" t="s">
        <v>484</v>
      </c>
      <c r="D303" s="12">
        <v>1015042</v>
      </c>
      <c r="E303" s="12">
        <v>2</v>
      </c>
      <c r="F303" s="12"/>
      <c r="G303" s="12">
        <v>650</v>
      </c>
      <c r="H303" s="12">
        <v>11.6</v>
      </c>
      <c r="I303" s="12"/>
      <c r="J303" s="12" t="s">
        <v>96</v>
      </c>
      <c r="K303" s="12" t="b">
        <v>1</v>
      </c>
      <c r="L303" s="12">
        <v>8</v>
      </c>
      <c r="M303" s="8">
        <v>2022</v>
      </c>
      <c r="N303" s="9">
        <v>0</v>
      </c>
      <c r="O303" s="13">
        <v>41815</v>
      </c>
      <c r="P303" s="13">
        <v>41815</v>
      </c>
    </row>
    <row r="304" spans="1:16">
      <c r="A304" s="10">
        <v>2014</v>
      </c>
      <c r="B304" s="11" t="s">
        <v>483</v>
      </c>
      <c r="C304" s="11" t="s">
        <v>484</v>
      </c>
      <c r="D304" s="12">
        <v>1015042</v>
      </c>
      <c r="E304" s="12">
        <v>2</v>
      </c>
      <c r="F304" s="12"/>
      <c r="G304" s="12">
        <v>650</v>
      </c>
      <c r="H304" s="12">
        <v>11.6</v>
      </c>
      <c r="I304" s="12"/>
      <c r="J304" s="12" t="s">
        <v>96</v>
      </c>
      <c r="K304" s="12" t="b">
        <v>1</v>
      </c>
      <c r="L304" s="12">
        <v>4</v>
      </c>
      <c r="M304" s="8">
        <v>2018</v>
      </c>
      <c r="N304" s="9">
        <v>0</v>
      </c>
      <c r="O304" s="13">
        <v>41815</v>
      </c>
      <c r="P304" s="13">
        <v>41815</v>
      </c>
    </row>
    <row r="305" spans="1:16">
      <c r="A305" s="10">
        <v>2014</v>
      </c>
      <c r="B305" s="11" t="s">
        <v>483</v>
      </c>
      <c r="C305" s="11" t="s">
        <v>484</v>
      </c>
      <c r="D305" s="12">
        <v>1015042</v>
      </c>
      <c r="E305" s="12">
        <v>2</v>
      </c>
      <c r="F305" s="12"/>
      <c r="G305" s="12">
        <v>650</v>
      </c>
      <c r="H305" s="12">
        <v>11.6</v>
      </c>
      <c r="I305" s="12"/>
      <c r="J305" s="12" t="s">
        <v>96</v>
      </c>
      <c r="K305" s="12" t="b">
        <v>1</v>
      </c>
      <c r="L305" s="12">
        <v>1</v>
      </c>
      <c r="M305" s="8">
        <v>2015</v>
      </c>
      <c r="N305" s="9">
        <v>0</v>
      </c>
      <c r="O305" s="13">
        <v>41815</v>
      </c>
      <c r="P305" s="13">
        <v>41815</v>
      </c>
    </row>
    <row r="306" spans="1:16">
      <c r="A306" s="10">
        <v>2014</v>
      </c>
      <c r="B306" s="11" t="s">
        <v>483</v>
      </c>
      <c r="C306" s="11" t="s">
        <v>484</v>
      </c>
      <c r="D306" s="12">
        <v>1015042</v>
      </c>
      <c r="E306" s="12">
        <v>2</v>
      </c>
      <c r="F306" s="12"/>
      <c r="G306" s="12">
        <v>650</v>
      </c>
      <c r="H306" s="12">
        <v>11.6</v>
      </c>
      <c r="I306" s="12"/>
      <c r="J306" s="12" t="s">
        <v>96</v>
      </c>
      <c r="K306" s="12" t="b">
        <v>1</v>
      </c>
      <c r="L306" s="12">
        <v>0</v>
      </c>
      <c r="M306" s="8">
        <v>2014</v>
      </c>
      <c r="N306" s="9">
        <v>163335</v>
      </c>
      <c r="O306" s="13">
        <v>41815</v>
      </c>
      <c r="P306" s="13">
        <v>41815</v>
      </c>
    </row>
    <row r="307" spans="1:16">
      <c r="A307" s="10">
        <v>2014</v>
      </c>
      <c r="B307" s="11" t="s">
        <v>483</v>
      </c>
      <c r="C307" s="11" t="s">
        <v>484</v>
      </c>
      <c r="D307" s="12">
        <v>1015042</v>
      </c>
      <c r="E307" s="12">
        <v>2</v>
      </c>
      <c r="F307" s="12"/>
      <c r="G307" s="12">
        <v>650</v>
      </c>
      <c r="H307" s="12">
        <v>11.6</v>
      </c>
      <c r="I307" s="12"/>
      <c r="J307" s="12" t="s">
        <v>96</v>
      </c>
      <c r="K307" s="12" t="b">
        <v>1</v>
      </c>
      <c r="L307" s="12">
        <v>3</v>
      </c>
      <c r="M307" s="8">
        <v>2017</v>
      </c>
      <c r="N307" s="9">
        <v>0</v>
      </c>
      <c r="O307" s="13">
        <v>41815</v>
      </c>
      <c r="P307" s="13">
        <v>41815</v>
      </c>
    </row>
    <row r="308" spans="1:16">
      <c r="A308" s="10">
        <v>2014</v>
      </c>
      <c r="B308" s="11" t="s">
        <v>483</v>
      </c>
      <c r="C308" s="11" t="s">
        <v>484</v>
      </c>
      <c r="D308" s="12">
        <v>1015042</v>
      </c>
      <c r="E308" s="12">
        <v>2</v>
      </c>
      <c r="F308" s="12"/>
      <c r="G308" s="12">
        <v>650</v>
      </c>
      <c r="H308" s="12">
        <v>11.6</v>
      </c>
      <c r="I308" s="12"/>
      <c r="J308" s="12" t="s">
        <v>96</v>
      </c>
      <c r="K308" s="12" t="b">
        <v>1</v>
      </c>
      <c r="L308" s="12">
        <v>6</v>
      </c>
      <c r="M308" s="8">
        <v>2020</v>
      </c>
      <c r="N308" s="9">
        <v>0</v>
      </c>
      <c r="O308" s="13">
        <v>41815</v>
      </c>
      <c r="P308" s="13">
        <v>41815</v>
      </c>
    </row>
    <row r="309" spans="1:16">
      <c r="A309" s="10">
        <v>2014</v>
      </c>
      <c r="B309" s="11" t="s">
        <v>483</v>
      </c>
      <c r="C309" s="11" t="s">
        <v>484</v>
      </c>
      <c r="D309" s="12">
        <v>1015042</v>
      </c>
      <c r="E309" s="12">
        <v>2</v>
      </c>
      <c r="F309" s="12"/>
      <c r="G309" s="12">
        <v>650</v>
      </c>
      <c r="H309" s="12">
        <v>11.6</v>
      </c>
      <c r="I309" s="12"/>
      <c r="J309" s="12" t="s">
        <v>96</v>
      </c>
      <c r="K309" s="12" t="b">
        <v>1</v>
      </c>
      <c r="L309" s="12">
        <v>7</v>
      </c>
      <c r="M309" s="8">
        <v>2021</v>
      </c>
      <c r="N309" s="9">
        <v>0</v>
      </c>
      <c r="O309" s="13">
        <v>41815</v>
      </c>
      <c r="P309" s="13">
        <v>41815</v>
      </c>
    </row>
    <row r="310" spans="1:16">
      <c r="A310" s="10">
        <v>2014</v>
      </c>
      <c r="B310" s="11" t="s">
        <v>483</v>
      </c>
      <c r="C310" s="11" t="s">
        <v>484</v>
      </c>
      <c r="D310" s="12">
        <v>1015042</v>
      </c>
      <c r="E310" s="12">
        <v>2</v>
      </c>
      <c r="F310" s="12"/>
      <c r="G310" s="12">
        <v>250</v>
      </c>
      <c r="H310" s="12" t="s">
        <v>70</v>
      </c>
      <c r="I310" s="12"/>
      <c r="J310" s="12" t="s">
        <v>71</v>
      </c>
      <c r="K310" s="12" t="b">
        <v>0</v>
      </c>
      <c r="L310" s="12">
        <v>5</v>
      </c>
      <c r="M310" s="8">
        <v>2019</v>
      </c>
      <c r="N310" s="9">
        <v>0</v>
      </c>
      <c r="O310" s="13">
        <v>41815</v>
      </c>
      <c r="P310" s="13">
        <v>41815</v>
      </c>
    </row>
    <row r="311" spans="1:16">
      <c r="A311" s="10">
        <v>2014</v>
      </c>
      <c r="B311" s="11" t="s">
        <v>483</v>
      </c>
      <c r="C311" s="11" t="s">
        <v>484</v>
      </c>
      <c r="D311" s="12">
        <v>1015042</v>
      </c>
      <c r="E311" s="12">
        <v>2</v>
      </c>
      <c r="F311" s="12"/>
      <c r="G311" s="12">
        <v>250</v>
      </c>
      <c r="H311" s="12" t="s">
        <v>70</v>
      </c>
      <c r="I311" s="12"/>
      <c r="J311" s="12" t="s">
        <v>71</v>
      </c>
      <c r="K311" s="12" t="b">
        <v>0</v>
      </c>
      <c r="L311" s="12">
        <v>2</v>
      </c>
      <c r="M311" s="8">
        <v>2016</v>
      </c>
      <c r="N311" s="9">
        <v>0</v>
      </c>
      <c r="O311" s="13">
        <v>41815</v>
      </c>
      <c r="P311" s="13">
        <v>41815</v>
      </c>
    </row>
    <row r="312" spans="1:16">
      <c r="A312" s="10">
        <v>2014</v>
      </c>
      <c r="B312" s="11" t="s">
        <v>483</v>
      </c>
      <c r="C312" s="11" t="s">
        <v>484</v>
      </c>
      <c r="D312" s="12">
        <v>1015042</v>
      </c>
      <c r="E312" s="12">
        <v>2</v>
      </c>
      <c r="F312" s="12"/>
      <c r="G312" s="12">
        <v>250</v>
      </c>
      <c r="H312" s="12" t="s">
        <v>70</v>
      </c>
      <c r="I312" s="12"/>
      <c r="J312" s="12" t="s">
        <v>71</v>
      </c>
      <c r="K312" s="12" t="b">
        <v>0</v>
      </c>
      <c r="L312" s="12">
        <v>7</v>
      </c>
      <c r="M312" s="8">
        <v>2021</v>
      </c>
      <c r="N312" s="9">
        <v>0</v>
      </c>
      <c r="O312" s="13">
        <v>41815</v>
      </c>
      <c r="P312" s="13">
        <v>41815</v>
      </c>
    </row>
    <row r="313" spans="1:16">
      <c r="A313" s="10">
        <v>2014</v>
      </c>
      <c r="B313" s="11" t="s">
        <v>483</v>
      </c>
      <c r="C313" s="11" t="s">
        <v>484</v>
      </c>
      <c r="D313" s="12">
        <v>1015042</v>
      </c>
      <c r="E313" s="12">
        <v>2</v>
      </c>
      <c r="F313" s="12"/>
      <c r="G313" s="12">
        <v>250</v>
      </c>
      <c r="H313" s="12" t="s">
        <v>70</v>
      </c>
      <c r="I313" s="12"/>
      <c r="J313" s="12" t="s">
        <v>71</v>
      </c>
      <c r="K313" s="12" t="b">
        <v>0</v>
      </c>
      <c r="L313" s="12">
        <v>0</v>
      </c>
      <c r="M313" s="8">
        <v>2014</v>
      </c>
      <c r="N313" s="9">
        <v>0</v>
      </c>
      <c r="O313" s="13">
        <v>41815</v>
      </c>
      <c r="P313" s="13">
        <v>41815</v>
      </c>
    </row>
    <row r="314" spans="1:16">
      <c r="A314" s="10">
        <v>2014</v>
      </c>
      <c r="B314" s="11" t="s">
        <v>483</v>
      </c>
      <c r="C314" s="11" t="s">
        <v>484</v>
      </c>
      <c r="D314" s="12">
        <v>1015042</v>
      </c>
      <c r="E314" s="12">
        <v>2</v>
      </c>
      <c r="F314" s="12"/>
      <c r="G314" s="12">
        <v>250</v>
      </c>
      <c r="H314" s="12" t="s">
        <v>70</v>
      </c>
      <c r="I314" s="12"/>
      <c r="J314" s="12" t="s">
        <v>71</v>
      </c>
      <c r="K314" s="12" t="b">
        <v>0</v>
      </c>
      <c r="L314" s="12">
        <v>3</v>
      </c>
      <c r="M314" s="8">
        <v>2017</v>
      </c>
      <c r="N314" s="9">
        <v>0</v>
      </c>
      <c r="O314" s="13">
        <v>41815</v>
      </c>
      <c r="P314" s="13">
        <v>41815</v>
      </c>
    </row>
    <row r="315" spans="1:16">
      <c r="A315" s="10">
        <v>2014</v>
      </c>
      <c r="B315" s="11" t="s">
        <v>483</v>
      </c>
      <c r="C315" s="11" t="s">
        <v>484</v>
      </c>
      <c r="D315" s="12">
        <v>1015042</v>
      </c>
      <c r="E315" s="12">
        <v>2</v>
      </c>
      <c r="F315" s="12"/>
      <c r="G315" s="12">
        <v>250</v>
      </c>
      <c r="H315" s="12" t="s">
        <v>70</v>
      </c>
      <c r="I315" s="12"/>
      <c r="J315" s="12" t="s">
        <v>71</v>
      </c>
      <c r="K315" s="12" t="b">
        <v>0</v>
      </c>
      <c r="L315" s="12">
        <v>1</v>
      </c>
      <c r="M315" s="8">
        <v>2015</v>
      </c>
      <c r="N315" s="9">
        <v>0</v>
      </c>
      <c r="O315" s="13">
        <v>41815</v>
      </c>
      <c r="P315" s="13">
        <v>41815</v>
      </c>
    </row>
    <row r="316" spans="1:16">
      <c r="A316" s="10">
        <v>2014</v>
      </c>
      <c r="B316" s="11" t="s">
        <v>483</v>
      </c>
      <c r="C316" s="11" t="s">
        <v>484</v>
      </c>
      <c r="D316" s="12">
        <v>1015042</v>
      </c>
      <c r="E316" s="12">
        <v>2</v>
      </c>
      <c r="F316" s="12"/>
      <c r="G316" s="12">
        <v>250</v>
      </c>
      <c r="H316" s="12" t="s">
        <v>70</v>
      </c>
      <c r="I316" s="12"/>
      <c r="J316" s="12" t="s">
        <v>71</v>
      </c>
      <c r="K316" s="12" t="b">
        <v>0</v>
      </c>
      <c r="L316" s="12">
        <v>8</v>
      </c>
      <c r="M316" s="8">
        <v>2022</v>
      </c>
      <c r="N316" s="9">
        <v>0</v>
      </c>
      <c r="O316" s="13">
        <v>41815</v>
      </c>
      <c r="P316" s="13">
        <v>41815</v>
      </c>
    </row>
    <row r="317" spans="1:16">
      <c r="A317" s="10">
        <v>2014</v>
      </c>
      <c r="B317" s="11" t="s">
        <v>483</v>
      </c>
      <c r="C317" s="11" t="s">
        <v>484</v>
      </c>
      <c r="D317" s="12">
        <v>1015042</v>
      </c>
      <c r="E317" s="12">
        <v>2</v>
      </c>
      <c r="F317" s="12"/>
      <c r="G317" s="12">
        <v>250</v>
      </c>
      <c r="H317" s="12" t="s">
        <v>70</v>
      </c>
      <c r="I317" s="12"/>
      <c r="J317" s="12" t="s">
        <v>71</v>
      </c>
      <c r="K317" s="12" t="b">
        <v>0</v>
      </c>
      <c r="L317" s="12">
        <v>4</v>
      </c>
      <c r="M317" s="8">
        <v>2018</v>
      </c>
      <c r="N317" s="9">
        <v>0</v>
      </c>
      <c r="O317" s="13">
        <v>41815</v>
      </c>
      <c r="P317" s="13">
        <v>41815</v>
      </c>
    </row>
    <row r="318" spans="1:16">
      <c r="A318" s="10">
        <v>2014</v>
      </c>
      <c r="B318" s="11" t="s">
        <v>483</v>
      </c>
      <c r="C318" s="11" t="s">
        <v>484</v>
      </c>
      <c r="D318" s="12">
        <v>1015042</v>
      </c>
      <c r="E318" s="12">
        <v>2</v>
      </c>
      <c r="F318" s="12"/>
      <c r="G318" s="12">
        <v>250</v>
      </c>
      <c r="H318" s="12" t="s">
        <v>70</v>
      </c>
      <c r="I318" s="12"/>
      <c r="J318" s="12" t="s">
        <v>71</v>
      </c>
      <c r="K318" s="12" t="b">
        <v>0</v>
      </c>
      <c r="L318" s="12">
        <v>6</v>
      </c>
      <c r="M318" s="8">
        <v>2020</v>
      </c>
      <c r="N318" s="9">
        <v>0</v>
      </c>
      <c r="O318" s="13">
        <v>41815</v>
      </c>
      <c r="P318" s="13">
        <v>41815</v>
      </c>
    </row>
    <row r="319" spans="1:16">
      <c r="A319" s="10">
        <v>2014</v>
      </c>
      <c r="B319" s="11" t="s">
        <v>483</v>
      </c>
      <c r="C319" s="11" t="s">
        <v>484</v>
      </c>
      <c r="D319" s="12">
        <v>1015042</v>
      </c>
      <c r="E319" s="12">
        <v>2</v>
      </c>
      <c r="F319" s="12"/>
      <c r="G319" s="12">
        <v>430</v>
      </c>
      <c r="H319" s="12">
        <v>8.1999999999999993</v>
      </c>
      <c r="I319" s="12" t="s">
        <v>377</v>
      </c>
      <c r="J319" s="12" t="s">
        <v>378</v>
      </c>
      <c r="K319" s="12" t="b">
        <v>0</v>
      </c>
      <c r="L319" s="12">
        <v>8</v>
      </c>
      <c r="M319" s="8">
        <v>2022</v>
      </c>
      <c r="N319" s="9">
        <v>853028</v>
      </c>
      <c r="O319" s="13">
        <v>41815</v>
      </c>
      <c r="P319" s="13">
        <v>41815</v>
      </c>
    </row>
    <row r="320" spans="1:16">
      <c r="A320" s="10">
        <v>2014</v>
      </c>
      <c r="B320" s="11" t="s">
        <v>483</v>
      </c>
      <c r="C320" s="11" t="s">
        <v>484</v>
      </c>
      <c r="D320" s="12">
        <v>1015042</v>
      </c>
      <c r="E320" s="12">
        <v>2</v>
      </c>
      <c r="F320" s="12"/>
      <c r="G320" s="12">
        <v>430</v>
      </c>
      <c r="H320" s="12">
        <v>8.1999999999999993</v>
      </c>
      <c r="I320" s="12" t="s">
        <v>377</v>
      </c>
      <c r="J320" s="12" t="s">
        <v>378</v>
      </c>
      <c r="K320" s="12" t="b">
        <v>0</v>
      </c>
      <c r="L320" s="12">
        <v>2</v>
      </c>
      <c r="M320" s="8">
        <v>2016</v>
      </c>
      <c r="N320" s="9">
        <v>870072</v>
      </c>
      <c r="O320" s="13">
        <v>41815</v>
      </c>
      <c r="P320" s="13">
        <v>41815</v>
      </c>
    </row>
    <row r="321" spans="1:16">
      <c r="A321" s="10">
        <v>2014</v>
      </c>
      <c r="B321" s="11" t="s">
        <v>483</v>
      </c>
      <c r="C321" s="11" t="s">
        <v>484</v>
      </c>
      <c r="D321" s="12">
        <v>1015042</v>
      </c>
      <c r="E321" s="12">
        <v>2</v>
      </c>
      <c r="F321" s="12"/>
      <c r="G321" s="12">
        <v>430</v>
      </c>
      <c r="H321" s="12">
        <v>8.1999999999999993</v>
      </c>
      <c r="I321" s="12" t="s">
        <v>377</v>
      </c>
      <c r="J321" s="12" t="s">
        <v>378</v>
      </c>
      <c r="K321" s="12" t="b">
        <v>0</v>
      </c>
      <c r="L321" s="12">
        <v>3</v>
      </c>
      <c r="M321" s="8">
        <v>2017</v>
      </c>
      <c r="N321" s="9">
        <v>708917</v>
      </c>
      <c r="O321" s="13">
        <v>41815</v>
      </c>
      <c r="P321" s="13">
        <v>41815</v>
      </c>
    </row>
    <row r="322" spans="1:16">
      <c r="A322" s="10">
        <v>2014</v>
      </c>
      <c r="B322" s="11" t="s">
        <v>483</v>
      </c>
      <c r="C322" s="11" t="s">
        <v>484</v>
      </c>
      <c r="D322" s="12">
        <v>1015042</v>
      </c>
      <c r="E322" s="12">
        <v>2</v>
      </c>
      <c r="F322" s="12"/>
      <c r="G322" s="12">
        <v>430</v>
      </c>
      <c r="H322" s="12">
        <v>8.1999999999999993</v>
      </c>
      <c r="I322" s="12" t="s">
        <v>377</v>
      </c>
      <c r="J322" s="12" t="s">
        <v>378</v>
      </c>
      <c r="K322" s="12" t="b">
        <v>0</v>
      </c>
      <c r="L322" s="12">
        <v>4</v>
      </c>
      <c r="M322" s="8">
        <v>2018</v>
      </c>
      <c r="N322" s="9">
        <v>720906</v>
      </c>
      <c r="O322" s="13">
        <v>41815</v>
      </c>
      <c r="P322" s="13">
        <v>41815</v>
      </c>
    </row>
    <row r="323" spans="1:16">
      <c r="A323" s="10">
        <v>2014</v>
      </c>
      <c r="B323" s="11" t="s">
        <v>483</v>
      </c>
      <c r="C323" s="11" t="s">
        <v>484</v>
      </c>
      <c r="D323" s="12">
        <v>1015042</v>
      </c>
      <c r="E323" s="12">
        <v>2</v>
      </c>
      <c r="F323" s="12"/>
      <c r="G323" s="12">
        <v>430</v>
      </c>
      <c r="H323" s="12">
        <v>8.1999999999999993</v>
      </c>
      <c r="I323" s="12" t="s">
        <v>377</v>
      </c>
      <c r="J323" s="12" t="s">
        <v>378</v>
      </c>
      <c r="K323" s="12" t="b">
        <v>0</v>
      </c>
      <c r="L323" s="12">
        <v>0</v>
      </c>
      <c r="M323" s="8">
        <v>2014</v>
      </c>
      <c r="N323" s="9">
        <v>509751</v>
      </c>
      <c r="O323" s="13">
        <v>41815</v>
      </c>
      <c r="P323" s="13">
        <v>41815</v>
      </c>
    </row>
    <row r="324" spans="1:16">
      <c r="A324" s="10">
        <v>2014</v>
      </c>
      <c r="B324" s="11" t="s">
        <v>483</v>
      </c>
      <c r="C324" s="11" t="s">
        <v>484</v>
      </c>
      <c r="D324" s="12">
        <v>1015042</v>
      </c>
      <c r="E324" s="12">
        <v>2</v>
      </c>
      <c r="F324" s="12"/>
      <c r="G324" s="12">
        <v>430</v>
      </c>
      <c r="H324" s="12">
        <v>8.1999999999999993</v>
      </c>
      <c r="I324" s="12" t="s">
        <v>377</v>
      </c>
      <c r="J324" s="12" t="s">
        <v>378</v>
      </c>
      <c r="K324" s="12" t="b">
        <v>0</v>
      </c>
      <c r="L324" s="12">
        <v>6</v>
      </c>
      <c r="M324" s="8">
        <v>2020</v>
      </c>
      <c r="N324" s="9">
        <v>777594</v>
      </c>
      <c r="O324" s="13">
        <v>41815</v>
      </c>
      <c r="P324" s="13">
        <v>41815</v>
      </c>
    </row>
    <row r="325" spans="1:16">
      <c r="A325" s="10">
        <v>2014</v>
      </c>
      <c r="B325" s="11" t="s">
        <v>483</v>
      </c>
      <c r="C325" s="11" t="s">
        <v>484</v>
      </c>
      <c r="D325" s="12">
        <v>1015042</v>
      </c>
      <c r="E325" s="12">
        <v>2</v>
      </c>
      <c r="F325" s="12"/>
      <c r="G325" s="12">
        <v>430</v>
      </c>
      <c r="H325" s="12">
        <v>8.1999999999999993</v>
      </c>
      <c r="I325" s="12" t="s">
        <v>377</v>
      </c>
      <c r="J325" s="12" t="s">
        <v>378</v>
      </c>
      <c r="K325" s="12" t="b">
        <v>0</v>
      </c>
      <c r="L325" s="12">
        <v>7</v>
      </c>
      <c r="M325" s="8">
        <v>2021</v>
      </c>
      <c r="N325" s="9">
        <v>813383</v>
      </c>
      <c r="O325" s="13">
        <v>41815</v>
      </c>
      <c r="P325" s="13">
        <v>41815</v>
      </c>
    </row>
    <row r="326" spans="1:16">
      <c r="A326" s="10">
        <v>2014</v>
      </c>
      <c r="B326" s="11" t="s">
        <v>483</v>
      </c>
      <c r="C326" s="11" t="s">
        <v>484</v>
      </c>
      <c r="D326" s="12">
        <v>1015042</v>
      </c>
      <c r="E326" s="12">
        <v>2</v>
      </c>
      <c r="F326" s="12"/>
      <c r="G326" s="12">
        <v>430</v>
      </c>
      <c r="H326" s="12">
        <v>8.1999999999999993</v>
      </c>
      <c r="I326" s="12" t="s">
        <v>377</v>
      </c>
      <c r="J326" s="12" t="s">
        <v>378</v>
      </c>
      <c r="K326" s="12" t="b">
        <v>0</v>
      </c>
      <c r="L326" s="12">
        <v>1</v>
      </c>
      <c r="M326" s="8">
        <v>2015</v>
      </c>
      <c r="N326" s="9">
        <v>770819</v>
      </c>
      <c r="O326" s="13">
        <v>41815</v>
      </c>
      <c r="P326" s="13">
        <v>41815</v>
      </c>
    </row>
    <row r="327" spans="1:16">
      <c r="A327" s="10">
        <v>2014</v>
      </c>
      <c r="B327" s="11" t="s">
        <v>483</v>
      </c>
      <c r="C327" s="11" t="s">
        <v>484</v>
      </c>
      <c r="D327" s="12">
        <v>1015042</v>
      </c>
      <c r="E327" s="12">
        <v>2</v>
      </c>
      <c r="F327" s="12"/>
      <c r="G327" s="12">
        <v>430</v>
      </c>
      <c r="H327" s="12">
        <v>8.1999999999999993</v>
      </c>
      <c r="I327" s="12" t="s">
        <v>377</v>
      </c>
      <c r="J327" s="12" t="s">
        <v>378</v>
      </c>
      <c r="K327" s="12" t="b">
        <v>0</v>
      </c>
      <c r="L327" s="12">
        <v>5</v>
      </c>
      <c r="M327" s="8">
        <v>2019</v>
      </c>
      <c r="N327" s="9">
        <v>747490</v>
      </c>
      <c r="O327" s="13">
        <v>41815</v>
      </c>
      <c r="P327" s="13">
        <v>41815</v>
      </c>
    </row>
    <row r="328" spans="1:16">
      <c r="A328" s="10">
        <v>2014</v>
      </c>
      <c r="B328" s="11" t="s">
        <v>483</v>
      </c>
      <c r="C328" s="11" t="s">
        <v>484</v>
      </c>
      <c r="D328" s="12">
        <v>1015042</v>
      </c>
      <c r="E328" s="12">
        <v>2</v>
      </c>
      <c r="F328" s="12"/>
      <c r="G328" s="12">
        <v>182</v>
      </c>
      <c r="H328" s="12" t="s">
        <v>362</v>
      </c>
      <c r="I328" s="12"/>
      <c r="J328" s="12" t="s">
        <v>363</v>
      </c>
      <c r="K328" s="12" t="b">
        <v>0</v>
      </c>
      <c r="L328" s="12">
        <v>5</v>
      </c>
      <c r="M328" s="8">
        <v>2019</v>
      </c>
      <c r="N328" s="9">
        <v>0</v>
      </c>
      <c r="O328" s="13">
        <v>41815</v>
      </c>
      <c r="P328" s="13">
        <v>41815</v>
      </c>
    </row>
    <row r="329" spans="1:16">
      <c r="A329" s="10">
        <v>2014</v>
      </c>
      <c r="B329" s="11" t="s">
        <v>483</v>
      </c>
      <c r="C329" s="11" t="s">
        <v>484</v>
      </c>
      <c r="D329" s="12">
        <v>1015042</v>
      </c>
      <c r="E329" s="12">
        <v>2</v>
      </c>
      <c r="F329" s="12"/>
      <c r="G329" s="12">
        <v>182</v>
      </c>
      <c r="H329" s="12" t="s">
        <v>362</v>
      </c>
      <c r="I329" s="12"/>
      <c r="J329" s="12" t="s">
        <v>363</v>
      </c>
      <c r="K329" s="12" t="b">
        <v>0</v>
      </c>
      <c r="L329" s="12">
        <v>2</v>
      </c>
      <c r="M329" s="8">
        <v>2016</v>
      </c>
      <c r="N329" s="9">
        <v>0</v>
      </c>
      <c r="O329" s="13">
        <v>41815</v>
      </c>
      <c r="P329" s="13">
        <v>41815</v>
      </c>
    </row>
    <row r="330" spans="1:16">
      <c r="A330" s="10">
        <v>2014</v>
      </c>
      <c r="B330" s="11" t="s">
        <v>483</v>
      </c>
      <c r="C330" s="11" t="s">
        <v>484</v>
      </c>
      <c r="D330" s="12">
        <v>1015042</v>
      </c>
      <c r="E330" s="12">
        <v>2</v>
      </c>
      <c r="F330" s="12"/>
      <c r="G330" s="12">
        <v>182</v>
      </c>
      <c r="H330" s="12" t="s">
        <v>362</v>
      </c>
      <c r="I330" s="12"/>
      <c r="J330" s="12" t="s">
        <v>363</v>
      </c>
      <c r="K330" s="12" t="b">
        <v>0</v>
      </c>
      <c r="L330" s="12">
        <v>1</v>
      </c>
      <c r="M330" s="8">
        <v>2015</v>
      </c>
      <c r="N330" s="9">
        <v>0</v>
      </c>
      <c r="O330" s="13">
        <v>41815</v>
      </c>
      <c r="P330" s="13">
        <v>41815</v>
      </c>
    </row>
    <row r="331" spans="1:16">
      <c r="A331" s="10">
        <v>2014</v>
      </c>
      <c r="B331" s="11" t="s">
        <v>483</v>
      </c>
      <c r="C331" s="11" t="s">
        <v>484</v>
      </c>
      <c r="D331" s="12">
        <v>1015042</v>
      </c>
      <c r="E331" s="12">
        <v>2</v>
      </c>
      <c r="F331" s="12"/>
      <c r="G331" s="12">
        <v>182</v>
      </c>
      <c r="H331" s="12" t="s">
        <v>362</v>
      </c>
      <c r="I331" s="12"/>
      <c r="J331" s="12" t="s">
        <v>363</v>
      </c>
      <c r="K331" s="12" t="b">
        <v>0</v>
      </c>
      <c r="L331" s="12">
        <v>6</v>
      </c>
      <c r="M331" s="8">
        <v>2020</v>
      </c>
      <c r="N331" s="9">
        <v>0</v>
      </c>
      <c r="O331" s="13">
        <v>41815</v>
      </c>
      <c r="P331" s="13">
        <v>41815</v>
      </c>
    </row>
    <row r="332" spans="1:16">
      <c r="A332" s="10">
        <v>2014</v>
      </c>
      <c r="B332" s="11" t="s">
        <v>483</v>
      </c>
      <c r="C332" s="11" t="s">
        <v>484</v>
      </c>
      <c r="D332" s="12">
        <v>1015042</v>
      </c>
      <c r="E332" s="12">
        <v>2</v>
      </c>
      <c r="F332" s="12"/>
      <c r="G332" s="12">
        <v>182</v>
      </c>
      <c r="H332" s="12" t="s">
        <v>362</v>
      </c>
      <c r="I332" s="12"/>
      <c r="J332" s="12" t="s">
        <v>363</v>
      </c>
      <c r="K332" s="12" t="b">
        <v>0</v>
      </c>
      <c r="L332" s="12">
        <v>7</v>
      </c>
      <c r="M332" s="8">
        <v>2021</v>
      </c>
      <c r="N332" s="9">
        <v>0</v>
      </c>
      <c r="O332" s="13">
        <v>41815</v>
      </c>
      <c r="P332" s="13">
        <v>41815</v>
      </c>
    </row>
    <row r="333" spans="1:16">
      <c r="A333" s="10">
        <v>2014</v>
      </c>
      <c r="B333" s="11" t="s">
        <v>483</v>
      </c>
      <c r="C333" s="11" t="s">
        <v>484</v>
      </c>
      <c r="D333" s="12">
        <v>1015042</v>
      </c>
      <c r="E333" s="12">
        <v>2</v>
      </c>
      <c r="F333" s="12"/>
      <c r="G333" s="12">
        <v>182</v>
      </c>
      <c r="H333" s="12" t="s">
        <v>362</v>
      </c>
      <c r="I333" s="12"/>
      <c r="J333" s="12" t="s">
        <v>363</v>
      </c>
      <c r="K333" s="12" t="b">
        <v>0</v>
      </c>
      <c r="L333" s="12">
        <v>8</v>
      </c>
      <c r="M333" s="8">
        <v>2022</v>
      </c>
      <c r="N333" s="9">
        <v>0</v>
      </c>
      <c r="O333" s="13">
        <v>41815</v>
      </c>
      <c r="P333" s="13">
        <v>41815</v>
      </c>
    </row>
    <row r="334" spans="1:16">
      <c r="A334" s="10">
        <v>2014</v>
      </c>
      <c r="B334" s="11" t="s">
        <v>483</v>
      </c>
      <c r="C334" s="11" t="s">
        <v>484</v>
      </c>
      <c r="D334" s="12">
        <v>1015042</v>
      </c>
      <c r="E334" s="12">
        <v>2</v>
      </c>
      <c r="F334" s="12"/>
      <c r="G334" s="12">
        <v>182</v>
      </c>
      <c r="H334" s="12" t="s">
        <v>362</v>
      </c>
      <c r="I334" s="12"/>
      <c r="J334" s="12" t="s">
        <v>363</v>
      </c>
      <c r="K334" s="12" t="b">
        <v>0</v>
      </c>
      <c r="L334" s="12">
        <v>3</v>
      </c>
      <c r="M334" s="8">
        <v>2017</v>
      </c>
      <c r="N334" s="9">
        <v>0</v>
      </c>
      <c r="O334" s="13">
        <v>41815</v>
      </c>
      <c r="P334" s="13">
        <v>41815</v>
      </c>
    </row>
    <row r="335" spans="1:16">
      <c r="A335" s="10">
        <v>2014</v>
      </c>
      <c r="B335" s="11" t="s">
        <v>483</v>
      </c>
      <c r="C335" s="11" t="s">
        <v>484</v>
      </c>
      <c r="D335" s="12">
        <v>1015042</v>
      </c>
      <c r="E335" s="12">
        <v>2</v>
      </c>
      <c r="F335" s="12"/>
      <c r="G335" s="12">
        <v>182</v>
      </c>
      <c r="H335" s="12" t="s">
        <v>362</v>
      </c>
      <c r="I335" s="12"/>
      <c r="J335" s="12" t="s">
        <v>363</v>
      </c>
      <c r="K335" s="12" t="b">
        <v>0</v>
      </c>
      <c r="L335" s="12">
        <v>4</v>
      </c>
      <c r="M335" s="8">
        <v>2018</v>
      </c>
      <c r="N335" s="9">
        <v>0</v>
      </c>
      <c r="O335" s="13">
        <v>41815</v>
      </c>
      <c r="P335" s="13">
        <v>41815</v>
      </c>
    </row>
    <row r="336" spans="1:16">
      <c r="A336" s="10">
        <v>2014</v>
      </c>
      <c r="B336" s="11" t="s">
        <v>483</v>
      </c>
      <c r="C336" s="11" t="s">
        <v>484</v>
      </c>
      <c r="D336" s="12">
        <v>1015042</v>
      </c>
      <c r="E336" s="12">
        <v>2</v>
      </c>
      <c r="F336" s="12"/>
      <c r="G336" s="12">
        <v>182</v>
      </c>
      <c r="H336" s="12" t="s">
        <v>362</v>
      </c>
      <c r="I336" s="12"/>
      <c r="J336" s="12" t="s">
        <v>363</v>
      </c>
      <c r="K336" s="12" t="b">
        <v>0</v>
      </c>
      <c r="L336" s="12">
        <v>0</v>
      </c>
      <c r="M336" s="8">
        <v>2014</v>
      </c>
      <c r="N336" s="9">
        <v>0</v>
      </c>
      <c r="O336" s="13">
        <v>41815</v>
      </c>
      <c r="P336" s="13">
        <v>41815</v>
      </c>
    </row>
    <row r="337" spans="1:16">
      <c r="A337" s="10">
        <v>2014</v>
      </c>
      <c r="B337" s="11" t="s">
        <v>483</v>
      </c>
      <c r="C337" s="11" t="s">
        <v>484</v>
      </c>
      <c r="D337" s="12">
        <v>1015042</v>
      </c>
      <c r="E337" s="12">
        <v>2</v>
      </c>
      <c r="F337" s="12"/>
      <c r="G337" s="12">
        <v>120</v>
      </c>
      <c r="H337" s="12">
        <v>2</v>
      </c>
      <c r="I337" s="12" t="s">
        <v>485</v>
      </c>
      <c r="J337" s="12" t="s">
        <v>19</v>
      </c>
      <c r="K337" s="12" t="b">
        <v>0</v>
      </c>
      <c r="L337" s="12">
        <v>2</v>
      </c>
      <c r="M337" s="8">
        <v>2016</v>
      </c>
      <c r="N337" s="9">
        <v>7470008</v>
      </c>
      <c r="O337" s="13">
        <v>41815</v>
      </c>
      <c r="P337" s="13">
        <v>41815</v>
      </c>
    </row>
    <row r="338" spans="1:16">
      <c r="A338" s="10">
        <v>2014</v>
      </c>
      <c r="B338" s="11" t="s">
        <v>483</v>
      </c>
      <c r="C338" s="11" t="s">
        <v>484</v>
      </c>
      <c r="D338" s="12">
        <v>1015042</v>
      </c>
      <c r="E338" s="12">
        <v>2</v>
      </c>
      <c r="F338" s="12"/>
      <c r="G338" s="12">
        <v>120</v>
      </c>
      <c r="H338" s="12">
        <v>2</v>
      </c>
      <c r="I338" s="12" t="s">
        <v>485</v>
      </c>
      <c r="J338" s="12" t="s">
        <v>19</v>
      </c>
      <c r="K338" s="12" t="b">
        <v>0</v>
      </c>
      <c r="L338" s="12">
        <v>4</v>
      </c>
      <c r="M338" s="8">
        <v>2018</v>
      </c>
      <c r="N338" s="9">
        <v>7844608</v>
      </c>
      <c r="O338" s="13">
        <v>41815</v>
      </c>
      <c r="P338" s="13">
        <v>41815</v>
      </c>
    </row>
    <row r="339" spans="1:16">
      <c r="A339" s="10">
        <v>2014</v>
      </c>
      <c r="B339" s="11" t="s">
        <v>483</v>
      </c>
      <c r="C339" s="11" t="s">
        <v>484</v>
      </c>
      <c r="D339" s="12">
        <v>1015042</v>
      </c>
      <c r="E339" s="12">
        <v>2</v>
      </c>
      <c r="F339" s="12"/>
      <c r="G339" s="12">
        <v>120</v>
      </c>
      <c r="H339" s="12">
        <v>2</v>
      </c>
      <c r="I339" s="12" t="s">
        <v>485</v>
      </c>
      <c r="J339" s="12" t="s">
        <v>19</v>
      </c>
      <c r="K339" s="12" t="b">
        <v>0</v>
      </c>
      <c r="L339" s="12">
        <v>3</v>
      </c>
      <c r="M339" s="8">
        <v>2017</v>
      </c>
      <c r="N339" s="9">
        <v>7603018</v>
      </c>
      <c r="O339" s="13">
        <v>41815</v>
      </c>
      <c r="P339" s="13">
        <v>41815</v>
      </c>
    </row>
    <row r="340" spans="1:16">
      <c r="A340" s="10">
        <v>2014</v>
      </c>
      <c r="B340" s="11" t="s">
        <v>483</v>
      </c>
      <c r="C340" s="11" t="s">
        <v>484</v>
      </c>
      <c r="D340" s="12">
        <v>1015042</v>
      </c>
      <c r="E340" s="12">
        <v>2</v>
      </c>
      <c r="F340" s="12"/>
      <c r="G340" s="12">
        <v>120</v>
      </c>
      <c r="H340" s="12">
        <v>2</v>
      </c>
      <c r="I340" s="12" t="s">
        <v>485</v>
      </c>
      <c r="J340" s="12" t="s">
        <v>19</v>
      </c>
      <c r="K340" s="12" t="b">
        <v>0</v>
      </c>
      <c r="L340" s="12">
        <v>6</v>
      </c>
      <c r="M340" s="8">
        <v>2020</v>
      </c>
      <c r="N340" s="9">
        <v>8249749</v>
      </c>
      <c r="O340" s="13">
        <v>41815</v>
      </c>
      <c r="P340" s="13">
        <v>41815</v>
      </c>
    </row>
    <row r="341" spans="1:16">
      <c r="A341" s="10">
        <v>2014</v>
      </c>
      <c r="B341" s="11" t="s">
        <v>483</v>
      </c>
      <c r="C341" s="11" t="s">
        <v>484</v>
      </c>
      <c r="D341" s="12">
        <v>1015042</v>
      </c>
      <c r="E341" s="12">
        <v>2</v>
      </c>
      <c r="F341" s="12"/>
      <c r="G341" s="12">
        <v>120</v>
      </c>
      <c r="H341" s="12">
        <v>2</v>
      </c>
      <c r="I341" s="12" t="s">
        <v>485</v>
      </c>
      <c r="J341" s="12" t="s">
        <v>19</v>
      </c>
      <c r="K341" s="12" t="b">
        <v>0</v>
      </c>
      <c r="L341" s="12">
        <v>8</v>
      </c>
      <c r="M341" s="8">
        <v>2022</v>
      </c>
      <c r="N341" s="9">
        <v>8797319.8499999996</v>
      </c>
      <c r="O341" s="13">
        <v>41815</v>
      </c>
      <c r="P341" s="13">
        <v>41815</v>
      </c>
    </row>
    <row r="342" spans="1:16">
      <c r="A342" s="10">
        <v>2014</v>
      </c>
      <c r="B342" s="11" t="s">
        <v>483</v>
      </c>
      <c r="C342" s="11" t="s">
        <v>484</v>
      </c>
      <c r="D342" s="12">
        <v>1015042</v>
      </c>
      <c r="E342" s="12">
        <v>2</v>
      </c>
      <c r="F342" s="12"/>
      <c r="G342" s="12">
        <v>120</v>
      </c>
      <c r="H342" s="12">
        <v>2</v>
      </c>
      <c r="I342" s="12" t="s">
        <v>485</v>
      </c>
      <c r="J342" s="12" t="s">
        <v>19</v>
      </c>
      <c r="K342" s="12" t="b">
        <v>0</v>
      </c>
      <c r="L342" s="12">
        <v>0</v>
      </c>
      <c r="M342" s="8">
        <v>2014</v>
      </c>
      <c r="N342" s="9">
        <v>10489061.84</v>
      </c>
      <c r="O342" s="13">
        <v>41815</v>
      </c>
      <c r="P342" s="13">
        <v>41815</v>
      </c>
    </row>
    <row r="343" spans="1:16">
      <c r="A343" s="10">
        <v>2014</v>
      </c>
      <c r="B343" s="11" t="s">
        <v>483</v>
      </c>
      <c r="C343" s="11" t="s">
        <v>484</v>
      </c>
      <c r="D343" s="12">
        <v>1015042</v>
      </c>
      <c r="E343" s="12">
        <v>2</v>
      </c>
      <c r="F343" s="12"/>
      <c r="G343" s="12">
        <v>120</v>
      </c>
      <c r="H343" s="12">
        <v>2</v>
      </c>
      <c r="I343" s="12" t="s">
        <v>485</v>
      </c>
      <c r="J343" s="12" t="s">
        <v>19</v>
      </c>
      <c r="K343" s="12" t="b">
        <v>0</v>
      </c>
      <c r="L343" s="12">
        <v>1</v>
      </c>
      <c r="M343" s="8">
        <v>2015</v>
      </c>
      <c r="N343" s="9">
        <v>7358051</v>
      </c>
      <c r="O343" s="13">
        <v>41815</v>
      </c>
      <c r="P343" s="13">
        <v>41815</v>
      </c>
    </row>
    <row r="344" spans="1:16">
      <c r="A344" s="10">
        <v>2014</v>
      </c>
      <c r="B344" s="11" t="s">
        <v>483</v>
      </c>
      <c r="C344" s="11" t="s">
        <v>484</v>
      </c>
      <c r="D344" s="12">
        <v>1015042</v>
      </c>
      <c r="E344" s="12">
        <v>2</v>
      </c>
      <c r="F344" s="12"/>
      <c r="G344" s="12">
        <v>120</v>
      </c>
      <c r="H344" s="12">
        <v>2</v>
      </c>
      <c r="I344" s="12" t="s">
        <v>485</v>
      </c>
      <c r="J344" s="12" t="s">
        <v>19</v>
      </c>
      <c r="K344" s="12" t="b">
        <v>0</v>
      </c>
      <c r="L344" s="12">
        <v>7</v>
      </c>
      <c r="M344" s="8">
        <v>2021</v>
      </c>
      <c r="N344" s="9">
        <v>8563741</v>
      </c>
      <c r="O344" s="13">
        <v>41815</v>
      </c>
      <c r="P344" s="13">
        <v>41815</v>
      </c>
    </row>
    <row r="345" spans="1:16">
      <c r="A345" s="10">
        <v>2014</v>
      </c>
      <c r="B345" s="11" t="s">
        <v>483</v>
      </c>
      <c r="C345" s="11" t="s">
        <v>484</v>
      </c>
      <c r="D345" s="12">
        <v>1015042</v>
      </c>
      <c r="E345" s="12">
        <v>2</v>
      </c>
      <c r="F345" s="12"/>
      <c r="G345" s="12">
        <v>120</v>
      </c>
      <c r="H345" s="12">
        <v>2</v>
      </c>
      <c r="I345" s="12" t="s">
        <v>485</v>
      </c>
      <c r="J345" s="12" t="s">
        <v>19</v>
      </c>
      <c r="K345" s="12" t="b">
        <v>0</v>
      </c>
      <c r="L345" s="12">
        <v>5</v>
      </c>
      <c r="M345" s="8">
        <v>2019</v>
      </c>
      <c r="N345" s="9">
        <v>8043446</v>
      </c>
      <c r="O345" s="13">
        <v>41815</v>
      </c>
      <c r="P345" s="13">
        <v>41815</v>
      </c>
    </row>
    <row r="346" spans="1:16">
      <c r="A346" s="10">
        <v>2014</v>
      </c>
      <c r="B346" s="11" t="s">
        <v>483</v>
      </c>
      <c r="C346" s="11" t="s">
        <v>484</v>
      </c>
      <c r="D346" s="12">
        <v>1015042</v>
      </c>
      <c r="E346" s="12">
        <v>2</v>
      </c>
      <c r="F346" s="12"/>
      <c r="G346" s="12">
        <v>530</v>
      </c>
      <c r="H346" s="12">
        <v>9.6999999999999993</v>
      </c>
      <c r="I346" s="12" t="s">
        <v>391</v>
      </c>
      <c r="J346" s="12" t="s">
        <v>392</v>
      </c>
      <c r="K346" s="12" t="b">
        <v>0</v>
      </c>
      <c r="L346" s="12">
        <v>3</v>
      </c>
      <c r="M346" s="8">
        <v>2017</v>
      </c>
      <c r="N346" s="9">
        <v>233</v>
      </c>
      <c r="O346" s="13">
        <v>41815</v>
      </c>
      <c r="P346" s="13">
        <v>41815</v>
      </c>
    </row>
    <row r="347" spans="1:16">
      <c r="A347" s="10">
        <v>2014</v>
      </c>
      <c r="B347" s="11" t="s">
        <v>483</v>
      </c>
      <c r="C347" s="11" t="s">
        <v>484</v>
      </c>
      <c r="D347" s="12">
        <v>1015042</v>
      </c>
      <c r="E347" s="12">
        <v>2</v>
      </c>
      <c r="F347" s="12"/>
      <c r="G347" s="12">
        <v>530</v>
      </c>
      <c r="H347" s="12">
        <v>9.6999999999999993</v>
      </c>
      <c r="I347" s="12" t="s">
        <v>391</v>
      </c>
      <c r="J347" s="12" t="s">
        <v>392</v>
      </c>
      <c r="K347" s="12" t="b">
        <v>0</v>
      </c>
      <c r="L347" s="12">
        <v>4</v>
      </c>
      <c r="M347" s="8">
        <v>2018</v>
      </c>
      <c r="N347" s="9">
        <v>514</v>
      </c>
      <c r="O347" s="13">
        <v>41815</v>
      </c>
      <c r="P347" s="13">
        <v>41815</v>
      </c>
    </row>
    <row r="348" spans="1:16">
      <c r="A348" s="10">
        <v>2014</v>
      </c>
      <c r="B348" s="11" t="s">
        <v>483</v>
      </c>
      <c r="C348" s="11" t="s">
        <v>484</v>
      </c>
      <c r="D348" s="12">
        <v>1015042</v>
      </c>
      <c r="E348" s="12">
        <v>2</v>
      </c>
      <c r="F348" s="12"/>
      <c r="G348" s="12">
        <v>530</v>
      </c>
      <c r="H348" s="12">
        <v>9.6999999999999993</v>
      </c>
      <c r="I348" s="12" t="s">
        <v>391</v>
      </c>
      <c r="J348" s="12" t="s">
        <v>392</v>
      </c>
      <c r="K348" s="12" t="b">
        <v>0</v>
      </c>
      <c r="L348" s="12">
        <v>7</v>
      </c>
      <c r="M348" s="8">
        <v>2021</v>
      </c>
      <c r="N348" s="9">
        <v>770</v>
      </c>
      <c r="O348" s="13">
        <v>41815</v>
      </c>
      <c r="P348" s="13">
        <v>41815</v>
      </c>
    </row>
    <row r="349" spans="1:16">
      <c r="A349" s="10">
        <v>2014</v>
      </c>
      <c r="B349" s="11" t="s">
        <v>483</v>
      </c>
      <c r="C349" s="11" t="s">
        <v>484</v>
      </c>
      <c r="D349" s="12">
        <v>1015042</v>
      </c>
      <c r="E349" s="12">
        <v>2</v>
      </c>
      <c r="F349" s="12"/>
      <c r="G349" s="12">
        <v>530</v>
      </c>
      <c r="H349" s="12">
        <v>9.6999999999999993</v>
      </c>
      <c r="I349" s="12" t="s">
        <v>391</v>
      </c>
      <c r="J349" s="12" t="s">
        <v>392</v>
      </c>
      <c r="K349" s="12" t="b">
        <v>0</v>
      </c>
      <c r="L349" s="12">
        <v>2</v>
      </c>
      <c r="M349" s="8">
        <v>2016</v>
      </c>
      <c r="N349" s="9">
        <v>7</v>
      </c>
      <c r="O349" s="13">
        <v>41815</v>
      </c>
      <c r="P349" s="13">
        <v>41815</v>
      </c>
    </row>
    <row r="350" spans="1:16">
      <c r="A350" s="10">
        <v>2014</v>
      </c>
      <c r="B350" s="11" t="s">
        <v>483</v>
      </c>
      <c r="C350" s="11" t="s">
        <v>484</v>
      </c>
      <c r="D350" s="12">
        <v>1015042</v>
      </c>
      <c r="E350" s="12">
        <v>2</v>
      </c>
      <c r="F350" s="12"/>
      <c r="G350" s="12">
        <v>530</v>
      </c>
      <c r="H350" s="12">
        <v>9.6999999999999993</v>
      </c>
      <c r="I350" s="12" t="s">
        <v>391</v>
      </c>
      <c r="J350" s="12" t="s">
        <v>392</v>
      </c>
      <c r="K350" s="12" t="b">
        <v>0</v>
      </c>
      <c r="L350" s="12">
        <v>1</v>
      </c>
      <c r="M350" s="8">
        <v>2015</v>
      </c>
      <c r="N350" s="9">
        <v>13</v>
      </c>
      <c r="O350" s="13">
        <v>41815</v>
      </c>
      <c r="P350" s="13">
        <v>41815</v>
      </c>
    </row>
    <row r="351" spans="1:16">
      <c r="A351" s="10">
        <v>2014</v>
      </c>
      <c r="B351" s="11" t="s">
        <v>483</v>
      </c>
      <c r="C351" s="11" t="s">
        <v>484</v>
      </c>
      <c r="D351" s="12">
        <v>1015042</v>
      </c>
      <c r="E351" s="12">
        <v>2</v>
      </c>
      <c r="F351" s="12"/>
      <c r="G351" s="12">
        <v>530</v>
      </c>
      <c r="H351" s="12">
        <v>9.6999999999999993</v>
      </c>
      <c r="I351" s="12" t="s">
        <v>391</v>
      </c>
      <c r="J351" s="12" t="s">
        <v>392</v>
      </c>
      <c r="K351" s="12" t="b">
        <v>0</v>
      </c>
      <c r="L351" s="12">
        <v>8</v>
      </c>
      <c r="M351" s="8">
        <v>2022</v>
      </c>
      <c r="N351" s="9">
        <v>871</v>
      </c>
      <c r="O351" s="13">
        <v>41815</v>
      </c>
      <c r="P351" s="13">
        <v>41815</v>
      </c>
    </row>
    <row r="352" spans="1:16">
      <c r="A352" s="10">
        <v>2014</v>
      </c>
      <c r="B352" s="11" t="s">
        <v>483</v>
      </c>
      <c r="C352" s="11" t="s">
        <v>484</v>
      </c>
      <c r="D352" s="12">
        <v>1015042</v>
      </c>
      <c r="E352" s="12">
        <v>2</v>
      </c>
      <c r="F352" s="12"/>
      <c r="G352" s="12">
        <v>530</v>
      </c>
      <c r="H352" s="12">
        <v>9.6999999999999993</v>
      </c>
      <c r="I352" s="12" t="s">
        <v>391</v>
      </c>
      <c r="J352" s="12" t="s">
        <v>392</v>
      </c>
      <c r="K352" s="12" t="b">
        <v>0</v>
      </c>
      <c r="L352" s="12">
        <v>6</v>
      </c>
      <c r="M352" s="8">
        <v>2020</v>
      </c>
      <c r="N352" s="9">
        <v>575</v>
      </c>
      <c r="O352" s="13">
        <v>41815</v>
      </c>
      <c r="P352" s="13">
        <v>41815</v>
      </c>
    </row>
    <row r="353" spans="1:16">
      <c r="A353" s="10">
        <v>2014</v>
      </c>
      <c r="B353" s="11" t="s">
        <v>483</v>
      </c>
      <c r="C353" s="11" t="s">
        <v>484</v>
      </c>
      <c r="D353" s="12">
        <v>1015042</v>
      </c>
      <c r="E353" s="12">
        <v>2</v>
      </c>
      <c r="F353" s="12"/>
      <c r="G353" s="12">
        <v>530</v>
      </c>
      <c r="H353" s="12">
        <v>9.6999999999999993</v>
      </c>
      <c r="I353" s="12" t="s">
        <v>391</v>
      </c>
      <c r="J353" s="12" t="s">
        <v>392</v>
      </c>
      <c r="K353" s="12" t="b">
        <v>0</v>
      </c>
      <c r="L353" s="12">
        <v>5</v>
      </c>
      <c r="M353" s="8">
        <v>2019</v>
      </c>
      <c r="N353" s="9">
        <v>561</v>
      </c>
      <c r="O353" s="13">
        <v>41815</v>
      </c>
      <c r="P353" s="13">
        <v>41815</v>
      </c>
    </row>
    <row r="354" spans="1:16">
      <c r="A354" s="10">
        <v>2014</v>
      </c>
      <c r="B354" s="11" t="s">
        <v>483</v>
      </c>
      <c r="C354" s="11" t="s">
        <v>484</v>
      </c>
      <c r="D354" s="12">
        <v>1015042</v>
      </c>
      <c r="E354" s="12">
        <v>2</v>
      </c>
      <c r="F354" s="12"/>
      <c r="G354" s="12">
        <v>530</v>
      </c>
      <c r="H354" s="12">
        <v>9.6999999999999993</v>
      </c>
      <c r="I354" s="12" t="s">
        <v>391</v>
      </c>
      <c r="J354" s="12" t="s">
        <v>392</v>
      </c>
      <c r="K354" s="12" t="b">
        <v>0</v>
      </c>
      <c r="L354" s="12">
        <v>0</v>
      </c>
      <c r="M354" s="8">
        <v>2014</v>
      </c>
      <c r="N354" s="9">
        <v>293</v>
      </c>
      <c r="O354" s="13">
        <v>41815</v>
      </c>
      <c r="P354" s="13">
        <v>41815</v>
      </c>
    </row>
    <row r="355" spans="1:16">
      <c r="A355" s="10">
        <v>2014</v>
      </c>
      <c r="B355" s="11" t="s">
        <v>483</v>
      </c>
      <c r="C355" s="11" t="s">
        <v>484</v>
      </c>
      <c r="D355" s="12">
        <v>1015042</v>
      </c>
      <c r="E355" s="12">
        <v>2</v>
      </c>
      <c r="F355" s="12"/>
      <c r="G355" s="12">
        <v>768</v>
      </c>
      <c r="H355" s="12" t="s">
        <v>406</v>
      </c>
      <c r="I355" s="12"/>
      <c r="J355" s="12" t="s">
        <v>400</v>
      </c>
      <c r="K355" s="12" t="b">
        <v>1</v>
      </c>
      <c r="L355" s="12">
        <v>0</v>
      </c>
      <c r="M355" s="8">
        <v>2014</v>
      </c>
      <c r="N355" s="9">
        <v>0</v>
      </c>
      <c r="O355" s="13">
        <v>41815</v>
      </c>
      <c r="P355" s="13">
        <v>41815</v>
      </c>
    </row>
    <row r="356" spans="1:16">
      <c r="A356" s="10">
        <v>2014</v>
      </c>
      <c r="B356" s="11" t="s">
        <v>483</v>
      </c>
      <c r="C356" s="11" t="s">
        <v>484</v>
      </c>
      <c r="D356" s="12">
        <v>1015042</v>
      </c>
      <c r="E356" s="12">
        <v>2</v>
      </c>
      <c r="F356" s="12"/>
      <c r="G356" s="12">
        <v>830</v>
      </c>
      <c r="H356" s="12">
        <v>13.4</v>
      </c>
      <c r="I356" s="12"/>
      <c r="J356" s="12" t="s">
        <v>122</v>
      </c>
      <c r="K356" s="12" t="b">
        <v>1</v>
      </c>
      <c r="L356" s="12">
        <v>7</v>
      </c>
      <c r="M356" s="8">
        <v>2021</v>
      </c>
      <c r="N356" s="9">
        <v>0</v>
      </c>
      <c r="O356" s="13">
        <v>41815</v>
      </c>
      <c r="P356" s="13">
        <v>41815</v>
      </c>
    </row>
    <row r="357" spans="1:16">
      <c r="A357" s="10">
        <v>2014</v>
      </c>
      <c r="B357" s="11" t="s">
        <v>483</v>
      </c>
      <c r="C357" s="11" t="s">
        <v>484</v>
      </c>
      <c r="D357" s="12">
        <v>1015042</v>
      </c>
      <c r="E357" s="12">
        <v>2</v>
      </c>
      <c r="F357" s="12"/>
      <c r="G357" s="12">
        <v>830</v>
      </c>
      <c r="H357" s="12">
        <v>13.4</v>
      </c>
      <c r="I357" s="12"/>
      <c r="J357" s="12" t="s">
        <v>122</v>
      </c>
      <c r="K357" s="12" t="b">
        <v>1</v>
      </c>
      <c r="L357" s="12">
        <v>3</v>
      </c>
      <c r="M357" s="8">
        <v>2017</v>
      </c>
      <c r="N357" s="9">
        <v>0</v>
      </c>
      <c r="O357" s="13">
        <v>41815</v>
      </c>
      <c r="P357" s="13">
        <v>41815</v>
      </c>
    </row>
    <row r="358" spans="1:16">
      <c r="A358" s="10">
        <v>2014</v>
      </c>
      <c r="B358" s="11" t="s">
        <v>483</v>
      </c>
      <c r="C358" s="11" t="s">
        <v>484</v>
      </c>
      <c r="D358" s="12">
        <v>1015042</v>
      </c>
      <c r="E358" s="12">
        <v>2</v>
      </c>
      <c r="F358" s="12"/>
      <c r="G358" s="12">
        <v>830</v>
      </c>
      <c r="H358" s="12">
        <v>13.4</v>
      </c>
      <c r="I358" s="12"/>
      <c r="J358" s="12" t="s">
        <v>122</v>
      </c>
      <c r="K358" s="12" t="b">
        <v>1</v>
      </c>
      <c r="L358" s="12">
        <v>0</v>
      </c>
      <c r="M358" s="8">
        <v>2014</v>
      </c>
      <c r="N358" s="9">
        <v>0</v>
      </c>
      <c r="O358" s="13">
        <v>41815</v>
      </c>
      <c r="P358" s="13">
        <v>41815</v>
      </c>
    </row>
    <row r="359" spans="1:16">
      <c r="A359" s="10">
        <v>2014</v>
      </c>
      <c r="B359" s="11" t="s">
        <v>483</v>
      </c>
      <c r="C359" s="11" t="s">
        <v>484</v>
      </c>
      <c r="D359" s="12">
        <v>1015042</v>
      </c>
      <c r="E359" s="12">
        <v>2</v>
      </c>
      <c r="F359" s="12"/>
      <c r="G359" s="12">
        <v>830</v>
      </c>
      <c r="H359" s="12">
        <v>13.4</v>
      </c>
      <c r="I359" s="12"/>
      <c r="J359" s="12" t="s">
        <v>122</v>
      </c>
      <c r="K359" s="12" t="b">
        <v>1</v>
      </c>
      <c r="L359" s="12">
        <v>6</v>
      </c>
      <c r="M359" s="8">
        <v>2020</v>
      </c>
      <c r="N359" s="9">
        <v>0</v>
      </c>
      <c r="O359" s="13">
        <v>41815</v>
      </c>
      <c r="P359" s="13">
        <v>41815</v>
      </c>
    </row>
    <row r="360" spans="1:16">
      <c r="A360" s="10">
        <v>2014</v>
      </c>
      <c r="B360" s="11" t="s">
        <v>483</v>
      </c>
      <c r="C360" s="11" t="s">
        <v>484</v>
      </c>
      <c r="D360" s="12">
        <v>1015042</v>
      </c>
      <c r="E360" s="12">
        <v>2</v>
      </c>
      <c r="F360" s="12"/>
      <c r="G360" s="12">
        <v>830</v>
      </c>
      <c r="H360" s="12">
        <v>13.4</v>
      </c>
      <c r="I360" s="12"/>
      <c r="J360" s="12" t="s">
        <v>122</v>
      </c>
      <c r="K360" s="12" t="b">
        <v>1</v>
      </c>
      <c r="L360" s="12">
        <v>4</v>
      </c>
      <c r="M360" s="8">
        <v>2018</v>
      </c>
      <c r="N360" s="9">
        <v>0</v>
      </c>
      <c r="O360" s="13">
        <v>41815</v>
      </c>
      <c r="P360" s="13">
        <v>41815</v>
      </c>
    </row>
    <row r="361" spans="1:16">
      <c r="A361" s="10">
        <v>2014</v>
      </c>
      <c r="B361" s="11" t="s">
        <v>483</v>
      </c>
      <c r="C361" s="11" t="s">
        <v>484</v>
      </c>
      <c r="D361" s="12">
        <v>1015042</v>
      </c>
      <c r="E361" s="12">
        <v>2</v>
      </c>
      <c r="F361" s="12"/>
      <c r="G361" s="12">
        <v>830</v>
      </c>
      <c r="H361" s="12">
        <v>13.4</v>
      </c>
      <c r="I361" s="12"/>
      <c r="J361" s="12" t="s">
        <v>122</v>
      </c>
      <c r="K361" s="12" t="b">
        <v>1</v>
      </c>
      <c r="L361" s="12">
        <v>2</v>
      </c>
      <c r="M361" s="8">
        <v>2016</v>
      </c>
      <c r="N361" s="9">
        <v>0</v>
      </c>
      <c r="O361" s="13">
        <v>41815</v>
      </c>
      <c r="P361" s="13">
        <v>41815</v>
      </c>
    </row>
    <row r="362" spans="1:16">
      <c r="A362" s="10">
        <v>2014</v>
      </c>
      <c r="B362" s="11" t="s">
        <v>483</v>
      </c>
      <c r="C362" s="11" t="s">
        <v>484</v>
      </c>
      <c r="D362" s="12">
        <v>1015042</v>
      </c>
      <c r="E362" s="12">
        <v>2</v>
      </c>
      <c r="F362" s="12"/>
      <c r="G362" s="12">
        <v>830</v>
      </c>
      <c r="H362" s="12">
        <v>13.4</v>
      </c>
      <c r="I362" s="12"/>
      <c r="J362" s="12" t="s">
        <v>122</v>
      </c>
      <c r="K362" s="12" t="b">
        <v>1</v>
      </c>
      <c r="L362" s="12">
        <v>5</v>
      </c>
      <c r="M362" s="8">
        <v>2019</v>
      </c>
      <c r="N362" s="9">
        <v>0</v>
      </c>
      <c r="O362" s="13">
        <v>41815</v>
      </c>
      <c r="P362" s="13">
        <v>41815</v>
      </c>
    </row>
    <row r="363" spans="1:16">
      <c r="A363" s="10">
        <v>2014</v>
      </c>
      <c r="B363" s="11" t="s">
        <v>483</v>
      </c>
      <c r="C363" s="11" t="s">
        <v>484</v>
      </c>
      <c r="D363" s="12">
        <v>1015042</v>
      </c>
      <c r="E363" s="12">
        <v>2</v>
      </c>
      <c r="F363" s="12"/>
      <c r="G363" s="12">
        <v>830</v>
      </c>
      <c r="H363" s="12">
        <v>13.4</v>
      </c>
      <c r="I363" s="12"/>
      <c r="J363" s="12" t="s">
        <v>122</v>
      </c>
      <c r="K363" s="12" t="b">
        <v>1</v>
      </c>
      <c r="L363" s="12">
        <v>1</v>
      </c>
      <c r="M363" s="8">
        <v>2015</v>
      </c>
      <c r="N363" s="9">
        <v>0</v>
      </c>
      <c r="O363" s="13">
        <v>41815</v>
      </c>
      <c r="P363" s="13">
        <v>41815</v>
      </c>
    </row>
    <row r="364" spans="1:16">
      <c r="A364" s="10">
        <v>2014</v>
      </c>
      <c r="B364" s="11" t="s">
        <v>483</v>
      </c>
      <c r="C364" s="11" t="s">
        <v>484</v>
      </c>
      <c r="D364" s="12">
        <v>1015042</v>
      </c>
      <c r="E364" s="12">
        <v>2</v>
      </c>
      <c r="F364" s="12"/>
      <c r="G364" s="12">
        <v>830</v>
      </c>
      <c r="H364" s="12">
        <v>13.4</v>
      </c>
      <c r="I364" s="12"/>
      <c r="J364" s="12" t="s">
        <v>122</v>
      </c>
      <c r="K364" s="12" t="b">
        <v>1</v>
      </c>
      <c r="L364" s="12">
        <v>8</v>
      </c>
      <c r="M364" s="8">
        <v>2022</v>
      </c>
      <c r="N364" s="9">
        <v>0</v>
      </c>
      <c r="O364" s="13">
        <v>41815</v>
      </c>
      <c r="P364" s="13">
        <v>41815</v>
      </c>
    </row>
    <row r="365" spans="1:16">
      <c r="A365" s="10">
        <v>2014</v>
      </c>
      <c r="B365" s="11" t="s">
        <v>483</v>
      </c>
      <c r="C365" s="11" t="s">
        <v>484</v>
      </c>
      <c r="D365" s="12">
        <v>1015042</v>
      </c>
      <c r="E365" s="12">
        <v>2</v>
      </c>
      <c r="F365" s="12"/>
      <c r="G365" s="12">
        <v>290</v>
      </c>
      <c r="H365" s="12" t="s">
        <v>75</v>
      </c>
      <c r="I365" s="12"/>
      <c r="J365" s="12" t="s">
        <v>71</v>
      </c>
      <c r="K365" s="12" t="b">
        <v>0</v>
      </c>
      <c r="L365" s="12">
        <v>5</v>
      </c>
      <c r="M365" s="8">
        <v>2019</v>
      </c>
      <c r="N365" s="9">
        <v>0</v>
      </c>
      <c r="O365" s="13">
        <v>41815</v>
      </c>
      <c r="P365" s="13">
        <v>41815</v>
      </c>
    </row>
    <row r="366" spans="1:16">
      <c r="A366" s="10">
        <v>2014</v>
      </c>
      <c r="B366" s="11" t="s">
        <v>483</v>
      </c>
      <c r="C366" s="11" t="s">
        <v>484</v>
      </c>
      <c r="D366" s="12">
        <v>1015042</v>
      </c>
      <c r="E366" s="12">
        <v>2</v>
      </c>
      <c r="F366" s="12"/>
      <c r="G366" s="12">
        <v>290</v>
      </c>
      <c r="H366" s="12" t="s">
        <v>75</v>
      </c>
      <c r="I366" s="12"/>
      <c r="J366" s="12" t="s">
        <v>71</v>
      </c>
      <c r="K366" s="12" t="b">
        <v>0</v>
      </c>
      <c r="L366" s="12">
        <v>1</v>
      </c>
      <c r="M366" s="8">
        <v>2015</v>
      </c>
      <c r="N366" s="9">
        <v>0</v>
      </c>
      <c r="O366" s="13">
        <v>41815</v>
      </c>
      <c r="P366" s="13">
        <v>41815</v>
      </c>
    </row>
    <row r="367" spans="1:16">
      <c r="A367" s="10">
        <v>2014</v>
      </c>
      <c r="B367" s="11" t="s">
        <v>483</v>
      </c>
      <c r="C367" s="11" t="s">
        <v>484</v>
      </c>
      <c r="D367" s="12">
        <v>1015042</v>
      </c>
      <c r="E367" s="12">
        <v>2</v>
      </c>
      <c r="F367" s="12"/>
      <c r="G367" s="12">
        <v>290</v>
      </c>
      <c r="H367" s="12" t="s">
        <v>75</v>
      </c>
      <c r="I367" s="12"/>
      <c r="J367" s="12" t="s">
        <v>71</v>
      </c>
      <c r="K367" s="12" t="b">
        <v>0</v>
      </c>
      <c r="L367" s="12">
        <v>6</v>
      </c>
      <c r="M367" s="8">
        <v>2020</v>
      </c>
      <c r="N367" s="9">
        <v>0</v>
      </c>
      <c r="O367" s="13">
        <v>41815</v>
      </c>
      <c r="P367" s="13">
        <v>41815</v>
      </c>
    </row>
    <row r="368" spans="1:16">
      <c r="A368" s="10">
        <v>2014</v>
      </c>
      <c r="B368" s="11" t="s">
        <v>483</v>
      </c>
      <c r="C368" s="11" t="s">
        <v>484</v>
      </c>
      <c r="D368" s="12">
        <v>1015042</v>
      </c>
      <c r="E368" s="12">
        <v>2</v>
      </c>
      <c r="F368" s="12"/>
      <c r="G368" s="12">
        <v>290</v>
      </c>
      <c r="H368" s="12" t="s">
        <v>75</v>
      </c>
      <c r="I368" s="12"/>
      <c r="J368" s="12" t="s">
        <v>71</v>
      </c>
      <c r="K368" s="12" t="b">
        <v>0</v>
      </c>
      <c r="L368" s="12">
        <v>3</v>
      </c>
      <c r="M368" s="8">
        <v>2017</v>
      </c>
      <c r="N368" s="9">
        <v>0</v>
      </c>
      <c r="O368" s="13">
        <v>41815</v>
      </c>
      <c r="P368" s="13">
        <v>41815</v>
      </c>
    </row>
    <row r="369" spans="1:16">
      <c r="A369" s="10">
        <v>2014</v>
      </c>
      <c r="B369" s="11" t="s">
        <v>483</v>
      </c>
      <c r="C369" s="11" t="s">
        <v>484</v>
      </c>
      <c r="D369" s="12">
        <v>1015042</v>
      </c>
      <c r="E369" s="12">
        <v>2</v>
      </c>
      <c r="F369" s="12"/>
      <c r="G369" s="12">
        <v>290</v>
      </c>
      <c r="H369" s="12" t="s">
        <v>75</v>
      </c>
      <c r="I369" s="12"/>
      <c r="J369" s="12" t="s">
        <v>71</v>
      </c>
      <c r="K369" s="12" t="b">
        <v>0</v>
      </c>
      <c r="L369" s="12">
        <v>0</v>
      </c>
      <c r="M369" s="8">
        <v>2014</v>
      </c>
      <c r="N369" s="9">
        <v>0</v>
      </c>
      <c r="O369" s="13">
        <v>41815</v>
      </c>
      <c r="P369" s="13">
        <v>41815</v>
      </c>
    </row>
    <row r="370" spans="1:16">
      <c r="A370" s="10">
        <v>2014</v>
      </c>
      <c r="B370" s="11" t="s">
        <v>483</v>
      </c>
      <c r="C370" s="11" t="s">
        <v>484</v>
      </c>
      <c r="D370" s="12">
        <v>1015042</v>
      </c>
      <c r="E370" s="12">
        <v>2</v>
      </c>
      <c r="F370" s="12"/>
      <c r="G370" s="12">
        <v>290</v>
      </c>
      <c r="H370" s="12" t="s">
        <v>75</v>
      </c>
      <c r="I370" s="12"/>
      <c r="J370" s="12" t="s">
        <v>71</v>
      </c>
      <c r="K370" s="12" t="b">
        <v>0</v>
      </c>
      <c r="L370" s="12">
        <v>4</v>
      </c>
      <c r="M370" s="8">
        <v>2018</v>
      </c>
      <c r="N370" s="9">
        <v>0</v>
      </c>
      <c r="O370" s="13">
        <v>41815</v>
      </c>
      <c r="P370" s="13">
        <v>41815</v>
      </c>
    </row>
    <row r="371" spans="1:16">
      <c r="A371" s="10">
        <v>2014</v>
      </c>
      <c r="B371" s="11" t="s">
        <v>483</v>
      </c>
      <c r="C371" s="11" t="s">
        <v>484</v>
      </c>
      <c r="D371" s="12">
        <v>1015042</v>
      </c>
      <c r="E371" s="12">
        <v>2</v>
      </c>
      <c r="F371" s="12"/>
      <c r="G371" s="12">
        <v>290</v>
      </c>
      <c r="H371" s="12" t="s">
        <v>75</v>
      </c>
      <c r="I371" s="12"/>
      <c r="J371" s="12" t="s">
        <v>71</v>
      </c>
      <c r="K371" s="12" t="b">
        <v>0</v>
      </c>
      <c r="L371" s="12">
        <v>7</v>
      </c>
      <c r="M371" s="8">
        <v>2021</v>
      </c>
      <c r="N371" s="9">
        <v>0</v>
      </c>
      <c r="O371" s="13">
        <v>41815</v>
      </c>
      <c r="P371" s="13">
        <v>41815</v>
      </c>
    </row>
    <row r="372" spans="1:16">
      <c r="A372" s="10">
        <v>2014</v>
      </c>
      <c r="B372" s="11" t="s">
        <v>483</v>
      </c>
      <c r="C372" s="11" t="s">
        <v>484</v>
      </c>
      <c r="D372" s="12">
        <v>1015042</v>
      </c>
      <c r="E372" s="12">
        <v>2</v>
      </c>
      <c r="F372" s="12"/>
      <c r="G372" s="12">
        <v>290</v>
      </c>
      <c r="H372" s="12" t="s">
        <v>75</v>
      </c>
      <c r="I372" s="12"/>
      <c r="J372" s="12" t="s">
        <v>71</v>
      </c>
      <c r="K372" s="12" t="b">
        <v>0</v>
      </c>
      <c r="L372" s="12">
        <v>2</v>
      </c>
      <c r="M372" s="8">
        <v>2016</v>
      </c>
      <c r="N372" s="9">
        <v>0</v>
      </c>
      <c r="O372" s="13">
        <v>41815</v>
      </c>
      <c r="P372" s="13">
        <v>41815</v>
      </c>
    </row>
    <row r="373" spans="1:16">
      <c r="A373" s="10">
        <v>2014</v>
      </c>
      <c r="B373" s="11" t="s">
        <v>483</v>
      </c>
      <c r="C373" s="11" t="s">
        <v>484</v>
      </c>
      <c r="D373" s="12">
        <v>1015042</v>
      </c>
      <c r="E373" s="12">
        <v>2</v>
      </c>
      <c r="F373" s="12"/>
      <c r="G373" s="12">
        <v>290</v>
      </c>
      <c r="H373" s="12" t="s">
        <v>75</v>
      </c>
      <c r="I373" s="12"/>
      <c r="J373" s="12" t="s">
        <v>71</v>
      </c>
      <c r="K373" s="12" t="b">
        <v>0</v>
      </c>
      <c r="L373" s="12">
        <v>8</v>
      </c>
      <c r="M373" s="8">
        <v>2022</v>
      </c>
      <c r="N373" s="9">
        <v>0</v>
      </c>
      <c r="O373" s="13">
        <v>41815</v>
      </c>
      <c r="P373" s="13">
        <v>41815</v>
      </c>
    </row>
    <row r="374" spans="1:16">
      <c r="A374" s="10">
        <v>2014</v>
      </c>
      <c r="B374" s="11" t="s">
        <v>483</v>
      </c>
      <c r="C374" s="11" t="s">
        <v>484</v>
      </c>
      <c r="D374" s="12">
        <v>1015042</v>
      </c>
      <c r="E374" s="12">
        <v>2</v>
      </c>
      <c r="F374" s="12"/>
      <c r="G374" s="12">
        <v>768</v>
      </c>
      <c r="H374" s="12" t="s">
        <v>406</v>
      </c>
      <c r="I374" s="12"/>
      <c r="J374" s="12" t="s">
        <v>400</v>
      </c>
      <c r="K374" s="12" t="b">
        <v>1</v>
      </c>
      <c r="L374" s="12">
        <v>1</v>
      </c>
      <c r="M374" s="8">
        <v>2015</v>
      </c>
      <c r="N374" s="9">
        <v>0</v>
      </c>
      <c r="O374" s="13">
        <v>41815</v>
      </c>
      <c r="P374" s="13">
        <v>41815</v>
      </c>
    </row>
    <row r="375" spans="1:16">
      <c r="A375" s="10">
        <v>2014</v>
      </c>
      <c r="B375" s="11" t="s">
        <v>483</v>
      </c>
      <c r="C375" s="11" t="s">
        <v>484</v>
      </c>
      <c r="D375" s="12">
        <v>1015042</v>
      </c>
      <c r="E375" s="12">
        <v>2</v>
      </c>
      <c r="F375" s="12"/>
      <c r="G375" s="12">
        <v>768</v>
      </c>
      <c r="H375" s="12" t="s">
        <v>406</v>
      </c>
      <c r="I375" s="12"/>
      <c r="J375" s="12" t="s">
        <v>400</v>
      </c>
      <c r="K375" s="12" t="b">
        <v>1</v>
      </c>
      <c r="L375" s="12">
        <v>6</v>
      </c>
      <c r="M375" s="8">
        <v>2020</v>
      </c>
      <c r="N375" s="9">
        <v>0</v>
      </c>
      <c r="O375" s="13">
        <v>41815</v>
      </c>
      <c r="P375" s="13">
        <v>41815</v>
      </c>
    </row>
    <row r="376" spans="1:16">
      <c r="A376" s="10">
        <v>2014</v>
      </c>
      <c r="B376" s="11" t="s">
        <v>483</v>
      </c>
      <c r="C376" s="11" t="s">
        <v>484</v>
      </c>
      <c r="D376" s="12">
        <v>1015042</v>
      </c>
      <c r="E376" s="12">
        <v>2</v>
      </c>
      <c r="F376" s="12"/>
      <c r="G376" s="12">
        <v>768</v>
      </c>
      <c r="H376" s="12" t="s">
        <v>406</v>
      </c>
      <c r="I376" s="12"/>
      <c r="J376" s="12" t="s">
        <v>400</v>
      </c>
      <c r="K376" s="12" t="b">
        <v>1</v>
      </c>
      <c r="L376" s="12">
        <v>3</v>
      </c>
      <c r="M376" s="8">
        <v>2017</v>
      </c>
      <c r="N376" s="9">
        <v>0</v>
      </c>
      <c r="O376" s="13">
        <v>41815</v>
      </c>
      <c r="P376" s="13">
        <v>41815</v>
      </c>
    </row>
    <row r="377" spans="1:16">
      <c r="A377" s="10">
        <v>2014</v>
      </c>
      <c r="B377" s="11" t="s">
        <v>483</v>
      </c>
      <c r="C377" s="11" t="s">
        <v>484</v>
      </c>
      <c r="D377" s="12">
        <v>1015042</v>
      </c>
      <c r="E377" s="12">
        <v>2</v>
      </c>
      <c r="F377" s="12"/>
      <c r="G377" s="12">
        <v>768</v>
      </c>
      <c r="H377" s="12" t="s">
        <v>406</v>
      </c>
      <c r="I377" s="12"/>
      <c r="J377" s="12" t="s">
        <v>400</v>
      </c>
      <c r="K377" s="12" t="b">
        <v>1</v>
      </c>
      <c r="L377" s="12">
        <v>2</v>
      </c>
      <c r="M377" s="8">
        <v>2016</v>
      </c>
      <c r="N377" s="9">
        <v>0</v>
      </c>
      <c r="O377" s="13">
        <v>41815</v>
      </c>
      <c r="P377" s="13">
        <v>41815</v>
      </c>
    </row>
    <row r="378" spans="1:16">
      <c r="A378" s="10">
        <v>2014</v>
      </c>
      <c r="B378" s="11" t="s">
        <v>483</v>
      </c>
      <c r="C378" s="11" t="s">
        <v>484</v>
      </c>
      <c r="D378" s="12">
        <v>1015042</v>
      </c>
      <c r="E378" s="12">
        <v>2</v>
      </c>
      <c r="F378" s="12"/>
      <c r="G378" s="12">
        <v>768</v>
      </c>
      <c r="H378" s="12" t="s">
        <v>406</v>
      </c>
      <c r="I378" s="12"/>
      <c r="J378" s="12" t="s">
        <v>400</v>
      </c>
      <c r="K378" s="12" t="b">
        <v>1</v>
      </c>
      <c r="L378" s="12">
        <v>7</v>
      </c>
      <c r="M378" s="8">
        <v>2021</v>
      </c>
      <c r="N378" s="9">
        <v>0</v>
      </c>
      <c r="O378" s="13">
        <v>41815</v>
      </c>
      <c r="P378" s="13">
        <v>41815</v>
      </c>
    </row>
    <row r="379" spans="1:16">
      <c r="A379" s="10">
        <v>2014</v>
      </c>
      <c r="B379" s="11" t="s">
        <v>483</v>
      </c>
      <c r="C379" s="11" t="s">
        <v>484</v>
      </c>
      <c r="D379" s="12">
        <v>1015042</v>
      </c>
      <c r="E379" s="12">
        <v>2</v>
      </c>
      <c r="F379" s="12"/>
      <c r="G379" s="12">
        <v>768</v>
      </c>
      <c r="H379" s="12" t="s">
        <v>406</v>
      </c>
      <c r="I379" s="12"/>
      <c r="J379" s="12" t="s">
        <v>400</v>
      </c>
      <c r="K379" s="12" t="b">
        <v>1</v>
      </c>
      <c r="L379" s="12">
        <v>4</v>
      </c>
      <c r="M379" s="8">
        <v>2018</v>
      </c>
      <c r="N379" s="9">
        <v>0</v>
      </c>
      <c r="O379" s="13">
        <v>41815</v>
      </c>
      <c r="P379" s="13">
        <v>41815</v>
      </c>
    </row>
    <row r="380" spans="1:16">
      <c r="A380" s="10">
        <v>2014</v>
      </c>
      <c r="B380" s="11" t="s">
        <v>483</v>
      </c>
      <c r="C380" s="11" t="s">
        <v>484</v>
      </c>
      <c r="D380" s="12">
        <v>1015042</v>
      </c>
      <c r="E380" s="12">
        <v>2</v>
      </c>
      <c r="F380" s="12"/>
      <c r="G380" s="12">
        <v>768</v>
      </c>
      <c r="H380" s="12" t="s">
        <v>406</v>
      </c>
      <c r="I380" s="12"/>
      <c r="J380" s="12" t="s">
        <v>400</v>
      </c>
      <c r="K380" s="12" t="b">
        <v>1</v>
      </c>
      <c r="L380" s="12">
        <v>5</v>
      </c>
      <c r="M380" s="8">
        <v>2019</v>
      </c>
      <c r="N380" s="9">
        <v>0</v>
      </c>
      <c r="O380" s="13">
        <v>41815</v>
      </c>
      <c r="P380" s="13">
        <v>41815</v>
      </c>
    </row>
    <row r="381" spans="1:16">
      <c r="A381" s="10">
        <v>2014</v>
      </c>
      <c r="B381" s="11" t="s">
        <v>483</v>
      </c>
      <c r="C381" s="11" t="s">
        <v>484</v>
      </c>
      <c r="D381" s="12">
        <v>1015042</v>
      </c>
      <c r="E381" s="12">
        <v>2</v>
      </c>
      <c r="F381" s="12"/>
      <c r="G381" s="12">
        <v>768</v>
      </c>
      <c r="H381" s="12" t="s">
        <v>406</v>
      </c>
      <c r="I381" s="12"/>
      <c r="J381" s="12" t="s">
        <v>400</v>
      </c>
      <c r="K381" s="12" t="b">
        <v>1</v>
      </c>
      <c r="L381" s="12">
        <v>8</v>
      </c>
      <c r="M381" s="8">
        <v>2022</v>
      </c>
      <c r="N381" s="9">
        <v>0</v>
      </c>
      <c r="O381" s="13">
        <v>41815</v>
      </c>
      <c r="P381" s="13">
        <v>41815</v>
      </c>
    </row>
    <row r="382" spans="1:16">
      <c r="A382" s="10">
        <v>2014</v>
      </c>
      <c r="B382" s="11" t="s">
        <v>483</v>
      </c>
      <c r="C382" s="11" t="s">
        <v>484</v>
      </c>
      <c r="D382" s="12">
        <v>1015042</v>
      </c>
      <c r="E382" s="12">
        <v>2</v>
      </c>
      <c r="F382" s="12"/>
      <c r="G382" s="12">
        <v>764</v>
      </c>
      <c r="H382" s="12" t="s">
        <v>399</v>
      </c>
      <c r="I382" s="12"/>
      <c r="J382" s="12" t="s">
        <v>400</v>
      </c>
      <c r="K382" s="12" t="b">
        <v>1</v>
      </c>
      <c r="L382" s="12">
        <v>7</v>
      </c>
      <c r="M382" s="8">
        <v>2021</v>
      </c>
      <c r="N382" s="9">
        <v>0</v>
      </c>
      <c r="O382" s="13">
        <v>41815</v>
      </c>
      <c r="P382" s="13">
        <v>41815</v>
      </c>
    </row>
    <row r="383" spans="1:16">
      <c r="A383" s="10">
        <v>2014</v>
      </c>
      <c r="B383" s="11" t="s">
        <v>483</v>
      </c>
      <c r="C383" s="11" t="s">
        <v>484</v>
      </c>
      <c r="D383" s="12">
        <v>1015042</v>
      </c>
      <c r="E383" s="12">
        <v>2</v>
      </c>
      <c r="F383" s="12"/>
      <c r="G383" s="12">
        <v>764</v>
      </c>
      <c r="H383" s="12" t="s">
        <v>399</v>
      </c>
      <c r="I383" s="12"/>
      <c r="J383" s="12" t="s">
        <v>400</v>
      </c>
      <c r="K383" s="12" t="b">
        <v>1</v>
      </c>
      <c r="L383" s="12">
        <v>6</v>
      </c>
      <c r="M383" s="8">
        <v>2020</v>
      </c>
      <c r="N383" s="9">
        <v>0</v>
      </c>
      <c r="O383" s="13">
        <v>41815</v>
      </c>
      <c r="P383" s="13">
        <v>41815</v>
      </c>
    </row>
    <row r="384" spans="1:16">
      <c r="A384" s="10">
        <v>2014</v>
      </c>
      <c r="B384" s="11" t="s">
        <v>483</v>
      </c>
      <c r="C384" s="11" t="s">
        <v>484</v>
      </c>
      <c r="D384" s="12">
        <v>1015042</v>
      </c>
      <c r="E384" s="12">
        <v>2</v>
      </c>
      <c r="F384" s="12"/>
      <c r="G384" s="12">
        <v>764</v>
      </c>
      <c r="H384" s="12" t="s">
        <v>399</v>
      </c>
      <c r="I384" s="12"/>
      <c r="J384" s="12" t="s">
        <v>400</v>
      </c>
      <c r="K384" s="12" t="b">
        <v>1</v>
      </c>
      <c r="L384" s="12">
        <v>8</v>
      </c>
      <c r="M384" s="8">
        <v>2022</v>
      </c>
      <c r="N384" s="9">
        <v>0</v>
      </c>
      <c r="O384" s="13">
        <v>41815</v>
      </c>
      <c r="P384" s="13">
        <v>41815</v>
      </c>
    </row>
    <row r="385" spans="1:16">
      <c r="A385" s="10">
        <v>2014</v>
      </c>
      <c r="B385" s="11" t="s">
        <v>483</v>
      </c>
      <c r="C385" s="11" t="s">
        <v>484</v>
      </c>
      <c r="D385" s="12">
        <v>1015042</v>
      </c>
      <c r="E385" s="12">
        <v>2</v>
      </c>
      <c r="F385" s="12"/>
      <c r="G385" s="12">
        <v>764</v>
      </c>
      <c r="H385" s="12" t="s">
        <v>399</v>
      </c>
      <c r="I385" s="12"/>
      <c r="J385" s="12" t="s">
        <v>400</v>
      </c>
      <c r="K385" s="12" t="b">
        <v>1</v>
      </c>
      <c r="L385" s="12">
        <v>0</v>
      </c>
      <c r="M385" s="8">
        <v>2014</v>
      </c>
      <c r="N385" s="9">
        <v>287400.03000000003</v>
      </c>
      <c r="O385" s="13">
        <v>41815</v>
      </c>
      <c r="P385" s="13">
        <v>41815</v>
      </c>
    </row>
    <row r="386" spans="1:16">
      <c r="A386" s="10">
        <v>2014</v>
      </c>
      <c r="B386" s="11" t="s">
        <v>483</v>
      </c>
      <c r="C386" s="11" t="s">
        <v>484</v>
      </c>
      <c r="D386" s="12">
        <v>1015042</v>
      </c>
      <c r="E386" s="12">
        <v>2</v>
      </c>
      <c r="F386" s="12"/>
      <c r="G386" s="12">
        <v>764</v>
      </c>
      <c r="H386" s="12" t="s">
        <v>399</v>
      </c>
      <c r="I386" s="12"/>
      <c r="J386" s="12" t="s">
        <v>400</v>
      </c>
      <c r="K386" s="12" t="b">
        <v>1</v>
      </c>
      <c r="L386" s="12">
        <v>1</v>
      </c>
      <c r="M386" s="8">
        <v>2015</v>
      </c>
      <c r="N386" s="9">
        <v>10640.88</v>
      </c>
      <c r="O386" s="13">
        <v>41815</v>
      </c>
      <c r="P386" s="13">
        <v>41815</v>
      </c>
    </row>
    <row r="387" spans="1:16">
      <c r="A387" s="10">
        <v>2014</v>
      </c>
      <c r="B387" s="11" t="s">
        <v>483</v>
      </c>
      <c r="C387" s="11" t="s">
        <v>484</v>
      </c>
      <c r="D387" s="12">
        <v>1015042</v>
      </c>
      <c r="E387" s="12">
        <v>2</v>
      </c>
      <c r="F387" s="12"/>
      <c r="G387" s="12">
        <v>764</v>
      </c>
      <c r="H387" s="12" t="s">
        <v>399</v>
      </c>
      <c r="I387" s="12"/>
      <c r="J387" s="12" t="s">
        <v>400</v>
      </c>
      <c r="K387" s="12" t="b">
        <v>1</v>
      </c>
      <c r="L387" s="12">
        <v>2</v>
      </c>
      <c r="M387" s="8">
        <v>2016</v>
      </c>
      <c r="N387" s="9">
        <v>0</v>
      </c>
      <c r="O387" s="13">
        <v>41815</v>
      </c>
      <c r="P387" s="13">
        <v>41815</v>
      </c>
    </row>
    <row r="388" spans="1:16">
      <c r="A388" s="10">
        <v>2014</v>
      </c>
      <c r="B388" s="11" t="s">
        <v>483</v>
      </c>
      <c r="C388" s="11" t="s">
        <v>484</v>
      </c>
      <c r="D388" s="12">
        <v>1015042</v>
      </c>
      <c r="E388" s="12">
        <v>2</v>
      </c>
      <c r="F388" s="12"/>
      <c r="G388" s="12">
        <v>764</v>
      </c>
      <c r="H388" s="12" t="s">
        <v>399</v>
      </c>
      <c r="I388" s="12"/>
      <c r="J388" s="12" t="s">
        <v>400</v>
      </c>
      <c r="K388" s="12" t="b">
        <v>1</v>
      </c>
      <c r="L388" s="12">
        <v>4</v>
      </c>
      <c r="M388" s="8">
        <v>2018</v>
      </c>
      <c r="N388" s="9">
        <v>0</v>
      </c>
      <c r="O388" s="13">
        <v>41815</v>
      </c>
      <c r="P388" s="13">
        <v>41815</v>
      </c>
    </row>
    <row r="389" spans="1:16">
      <c r="A389" s="10">
        <v>2014</v>
      </c>
      <c r="B389" s="11" t="s">
        <v>483</v>
      </c>
      <c r="C389" s="11" t="s">
        <v>484</v>
      </c>
      <c r="D389" s="12">
        <v>1015042</v>
      </c>
      <c r="E389" s="12">
        <v>2</v>
      </c>
      <c r="F389" s="12"/>
      <c r="G389" s="12">
        <v>764</v>
      </c>
      <c r="H389" s="12" t="s">
        <v>399</v>
      </c>
      <c r="I389" s="12"/>
      <c r="J389" s="12" t="s">
        <v>400</v>
      </c>
      <c r="K389" s="12" t="b">
        <v>1</v>
      </c>
      <c r="L389" s="12">
        <v>5</v>
      </c>
      <c r="M389" s="8">
        <v>2019</v>
      </c>
      <c r="N389" s="9">
        <v>0</v>
      </c>
      <c r="O389" s="13">
        <v>41815</v>
      </c>
      <c r="P389" s="13">
        <v>41815</v>
      </c>
    </row>
    <row r="390" spans="1:16">
      <c r="A390" s="10">
        <v>2014</v>
      </c>
      <c r="B390" s="11" t="s">
        <v>483</v>
      </c>
      <c r="C390" s="11" t="s">
        <v>484</v>
      </c>
      <c r="D390" s="12">
        <v>1015042</v>
      </c>
      <c r="E390" s="12">
        <v>2</v>
      </c>
      <c r="F390" s="12"/>
      <c r="G390" s="12">
        <v>764</v>
      </c>
      <c r="H390" s="12" t="s">
        <v>399</v>
      </c>
      <c r="I390" s="12"/>
      <c r="J390" s="12" t="s">
        <v>400</v>
      </c>
      <c r="K390" s="12" t="b">
        <v>1</v>
      </c>
      <c r="L390" s="12">
        <v>3</v>
      </c>
      <c r="M390" s="8">
        <v>2017</v>
      </c>
      <c r="N390" s="9">
        <v>0</v>
      </c>
      <c r="O390" s="13">
        <v>41815</v>
      </c>
      <c r="P390" s="13">
        <v>41815</v>
      </c>
    </row>
    <row r="391" spans="1:16">
      <c r="A391" s="10">
        <v>2014</v>
      </c>
      <c r="B391" s="11" t="s">
        <v>483</v>
      </c>
      <c r="C391" s="11" t="s">
        <v>484</v>
      </c>
      <c r="D391" s="12">
        <v>1015042</v>
      </c>
      <c r="E391" s="12">
        <v>2</v>
      </c>
      <c r="F391" s="12"/>
      <c r="G391" s="12">
        <v>60</v>
      </c>
      <c r="H391" s="12" t="s">
        <v>47</v>
      </c>
      <c r="I391" s="12"/>
      <c r="J391" s="12" t="s">
        <v>48</v>
      </c>
      <c r="K391" s="12" t="b">
        <v>1</v>
      </c>
      <c r="L391" s="12">
        <v>4</v>
      </c>
      <c r="M391" s="8">
        <v>2018</v>
      </c>
      <c r="N391" s="9">
        <v>0</v>
      </c>
      <c r="O391" s="13">
        <v>41815</v>
      </c>
      <c r="P391" s="13">
        <v>41815</v>
      </c>
    </row>
    <row r="392" spans="1:16">
      <c r="A392" s="10">
        <v>2014</v>
      </c>
      <c r="B392" s="11" t="s">
        <v>483</v>
      </c>
      <c r="C392" s="11" t="s">
        <v>484</v>
      </c>
      <c r="D392" s="12">
        <v>1015042</v>
      </c>
      <c r="E392" s="12">
        <v>2</v>
      </c>
      <c r="F392" s="12"/>
      <c r="G392" s="12">
        <v>60</v>
      </c>
      <c r="H392" s="12" t="s">
        <v>47</v>
      </c>
      <c r="I392" s="12"/>
      <c r="J392" s="12" t="s">
        <v>48</v>
      </c>
      <c r="K392" s="12" t="b">
        <v>1</v>
      </c>
      <c r="L392" s="12">
        <v>6</v>
      </c>
      <c r="M392" s="8">
        <v>2020</v>
      </c>
      <c r="N392" s="9">
        <v>0</v>
      </c>
      <c r="O392" s="13">
        <v>41815</v>
      </c>
      <c r="P392" s="13">
        <v>41815</v>
      </c>
    </row>
    <row r="393" spans="1:16">
      <c r="A393" s="10">
        <v>2014</v>
      </c>
      <c r="B393" s="11" t="s">
        <v>483</v>
      </c>
      <c r="C393" s="11" t="s">
        <v>484</v>
      </c>
      <c r="D393" s="12">
        <v>1015042</v>
      </c>
      <c r="E393" s="12">
        <v>2</v>
      </c>
      <c r="F393" s="12"/>
      <c r="G393" s="12">
        <v>60</v>
      </c>
      <c r="H393" s="12" t="s">
        <v>47</v>
      </c>
      <c r="I393" s="12"/>
      <c r="J393" s="12" t="s">
        <v>48</v>
      </c>
      <c r="K393" s="12" t="b">
        <v>1</v>
      </c>
      <c r="L393" s="12">
        <v>5</v>
      </c>
      <c r="M393" s="8">
        <v>2019</v>
      </c>
      <c r="N393" s="9">
        <v>0</v>
      </c>
      <c r="O393" s="13">
        <v>41815</v>
      </c>
      <c r="P393" s="13">
        <v>41815</v>
      </c>
    </row>
    <row r="394" spans="1:16">
      <c r="A394" s="10">
        <v>2014</v>
      </c>
      <c r="B394" s="11" t="s">
        <v>483</v>
      </c>
      <c r="C394" s="11" t="s">
        <v>484</v>
      </c>
      <c r="D394" s="12">
        <v>1015042</v>
      </c>
      <c r="E394" s="12">
        <v>2</v>
      </c>
      <c r="F394" s="12"/>
      <c r="G394" s="12">
        <v>60</v>
      </c>
      <c r="H394" s="12" t="s">
        <v>47</v>
      </c>
      <c r="I394" s="12"/>
      <c r="J394" s="12" t="s">
        <v>48</v>
      </c>
      <c r="K394" s="12" t="b">
        <v>1</v>
      </c>
      <c r="L394" s="12">
        <v>3</v>
      </c>
      <c r="M394" s="8">
        <v>2017</v>
      </c>
      <c r="N394" s="9">
        <v>1155026</v>
      </c>
      <c r="O394" s="13">
        <v>41815</v>
      </c>
      <c r="P394" s="13">
        <v>41815</v>
      </c>
    </row>
    <row r="395" spans="1:16">
      <c r="A395" s="10">
        <v>2014</v>
      </c>
      <c r="B395" s="11" t="s">
        <v>483</v>
      </c>
      <c r="C395" s="11" t="s">
        <v>484</v>
      </c>
      <c r="D395" s="12">
        <v>1015042</v>
      </c>
      <c r="E395" s="12">
        <v>2</v>
      </c>
      <c r="F395" s="12"/>
      <c r="G395" s="12">
        <v>60</v>
      </c>
      <c r="H395" s="12" t="s">
        <v>47</v>
      </c>
      <c r="I395" s="12"/>
      <c r="J395" s="12" t="s">
        <v>48</v>
      </c>
      <c r="K395" s="12" t="b">
        <v>1</v>
      </c>
      <c r="L395" s="12">
        <v>7</v>
      </c>
      <c r="M395" s="8">
        <v>2021</v>
      </c>
      <c r="N395" s="9">
        <v>0</v>
      </c>
      <c r="O395" s="13">
        <v>41815</v>
      </c>
      <c r="P395" s="13">
        <v>41815</v>
      </c>
    </row>
    <row r="396" spans="1:16">
      <c r="A396" s="10">
        <v>2014</v>
      </c>
      <c r="B396" s="11" t="s">
        <v>483</v>
      </c>
      <c r="C396" s="11" t="s">
        <v>484</v>
      </c>
      <c r="D396" s="12">
        <v>1015042</v>
      </c>
      <c r="E396" s="12">
        <v>2</v>
      </c>
      <c r="F396" s="12"/>
      <c r="G396" s="12">
        <v>60</v>
      </c>
      <c r="H396" s="12" t="s">
        <v>47</v>
      </c>
      <c r="I396" s="12"/>
      <c r="J396" s="12" t="s">
        <v>48</v>
      </c>
      <c r="K396" s="12" t="b">
        <v>1</v>
      </c>
      <c r="L396" s="12">
        <v>1</v>
      </c>
      <c r="M396" s="8">
        <v>2015</v>
      </c>
      <c r="N396" s="9">
        <v>1088723</v>
      </c>
      <c r="O396" s="13">
        <v>41815</v>
      </c>
      <c r="P396" s="13">
        <v>41815</v>
      </c>
    </row>
    <row r="397" spans="1:16">
      <c r="A397" s="10">
        <v>2014</v>
      </c>
      <c r="B397" s="11" t="s">
        <v>483</v>
      </c>
      <c r="C397" s="11" t="s">
        <v>484</v>
      </c>
      <c r="D397" s="12">
        <v>1015042</v>
      </c>
      <c r="E397" s="12">
        <v>2</v>
      </c>
      <c r="F397" s="12"/>
      <c r="G397" s="12">
        <v>60</v>
      </c>
      <c r="H397" s="12" t="s">
        <v>47</v>
      </c>
      <c r="I397" s="12"/>
      <c r="J397" s="12" t="s">
        <v>48</v>
      </c>
      <c r="K397" s="12" t="b">
        <v>1</v>
      </c>
      <c r="L397" s="12">
        <v>0</v>
      </c>
      <c r="M397" s="8">
        <v>2014</v>
      </c>
      <c r="N397" s="9">
        <v>1057000</v>
      </c>
      <c r="O397" s="13">
        <v>41815</v>
      </c>
      <c r="P397" s="13">
        <v>41815</v>
      </c>
    </row>
    <row r="398" spans="1:16">
      <c r="A398" s="10">
        <v>2014</v>
      </c>
      <c r="B398" s="11" t="s">
        <v>483</v>
      </c>
      <c r="C398" s="11" t="s">
        <v>484</v>
      </c>
      <c r="D398" s="12">
        <v>1015042</v>
      </c>
      <c r="E398" s="12">
        <v>2</v>
      </c>
      <c r="F398" s="12"/>
      <c r="G398" s="12">
        <v>60</v>
      </c>
      <c r="H398" s="12" t="s">
        <v>47</v>
      </c>
      <c r="I398" s="12"/>
      <c r="J398" s="12" t="s">
        <v>48</v>
      </c>
      <c r="K398" s="12" t="b">
        <v>1</v>
      </c>
      <c r="L398" s="12">
        <v>2</v>
      </c>
      <c r="M398" s="8">
        <v>2016</v>
      </c>
      <c r="N398" s="9">
        <v>1121385</v>
      </c>
      <c r="O398" s="13">
        <v>41815</v>
      </c>
      <c r="P398" s="13">
        <v>41815</v>
      </c>
    </row>
    <row r="399" spans="1:16">
      <c r="A399" s="10">
        <v>2014</v>
      </c>
      <c r="B399" s="11" t="s">
        <v>483</v>
      </c>
      <c r="C399" s="11" t="s">
        <v>484</v>
      </c>
      <c r="D399" s="12">
        <v>1015042</v>
      </c>
      <c r="E399" s="12">
        <v>2</v>
      </c>
      <c r="F399" s="12"/>
      <c r="G399" s="12">
        <v>60</v>
      </c>
      <c r="H399" s="12" t="s">
        <v>47</v>
      </c>
      <c r="I399" s="12"/>
      <c r="J399" s="12" t="s">
        <v>48</v>
      </c>
      <c r="K399" s="12" t="b">
        <v>1</v>
      </c>
      <c r="L399" s="12">
        <v>8</v>
      </c>
      <c r="M399" s="8">
        <v>2022</v>
      </c>
      <c r="N399" s="9">
        <v>0</v>
      </c>
      <c r="O399" s="13">
        <v>41815</v>
      </c>
      <c r="P399" s="13">
        <v>41815</v>
      </c>
    </row>
    <row r="400" spans="1:16">
      <c r="A400" s="10">
        <v>2014</v>
      </c>
      <c r="B400" s="11" t="s">
        <v>483</v>
      </c>
      <c r="C400" s="11" t="s">
        <v>484</v>
      </c>
      <c r="D400" s="12">
        <v>1015042</v>
      </c>
      <c r="E400" s="12">
        <v>2</v>
      </c>
      <c r="F400" s="12"/>
      <c r="G400" s="12">
        <v>508</v>
      </c>
      <c r="H400" s="12">
        <v>9.5</v>
      </c>
      <c r="I400" s="12" t="s">
        <v>386</v>
      </c>
      <c r="J400" s="12" t="s">
        <v>387</v>
      </c>
      <c r="K400" s="12" t="b">
        <v>0</v>
      </c>
      <c r="L400" s="12">
        <v>7</v>
      </c>
      <c r="M400" s="8">
        <v>2021</v>
      </c>
      <c r="N400" s="9">
        <v>9.3899999999999997E-2</v>
      </c>
      <c r="O400" s="13">
        <v>41815</v>
      </c>
      <c r="P400" s="13">
        <v>41815</v>
      </c>
    </row>
    <row r="401" spans="1:16">
      <c r="A401" s="10">
        <v>2014</v>
      </c>
      <c r="B401" s="11" t="s">
        <v>483</v>
      </c>
      <c r="C401" s="11" t="s">
        <v>484</v>
      </c>
      <c r="D401" s="12">
        <v>1015042</v>
      </c>
      <c r="E401" s="12">
        <v>2</v>
      </c>
      <c r="F401" s="12"/>
      <c r="G401" s="12">
        <v>508</v>
      </c>
      <c r="H401" s="12">
        <v>9.5</v>
      </c>
      <c r="I401" s="12" t="s">
        <v>386</v>
      </c>
      <c r="J401" s="12" t="s">
        <v>387</v>
      </c>
      <c r="K401" s="12" t="b">
        <v>0</v>
      </c>
      <c r="L401" s="12">
        <v>6</v>
      </c>
      <c r="M401" s="8">
        <v>2020</v>
      </c>
      <c r="N401" s="9">
        <v>9.1499999999999998E-2</v>
      </c>
      <c r="O401" s="13">
        <v>41815</v>
      </c>
      <c r="P401" s="13">
        <v>41815</v>
      </c>
    </row>
    <row r="402" spans="1:16">
      <c r="A402" s="10">
        <v>2014</v>
      </c>
      <c r="B402" s="11" t="s">
        <v>483</v>
      </c>
      <c r="C402" s="11" t="s">
        <v>484</v>
      </c>
      <c r="D402" s="12">
        <v>1015042</v>
      </c>
      <c r="E402" s="12">
        <v>2</v>
      </c>
      <c r="F402" s="12"/>
      <c r="G402" s="12">
        <v>508</v>
      </c>
      <c r="H402" s="12">
        <v>9.5</v>
      </c>
      <c r="I402" s="12" t="s">
        <v>386</v>
      </c>
      <c r="J402" s="12" t="s">
        <v>387</v>
      </c>
      <c r="K402" s="12" t="b">
        <v>0</v>
      </c>
      <c r="L402" s="12">
        <v>8</v>
      </c>
      <c r="M402" s="8">
        <v>2022</v>
      </c>
      <c r="N402" s="9">
        <v>9.6500000000000002E-2</v>
      </c>
      <c r="O402" s="13">
        <v>41815</v>
      </c>
      <c r="P402" s="13">
        <v>41815</v>
      </c>
    </row>
    <row r="403" spans="1:16">
      <c r="A403" s="10">
        <v>2014</v>
      </c>
      <c r="B403" s="11" t="s">
        <v>483</v>
      </c>
      <c r="C403" s="11" t="s">
        <v>484</v>
      </c>
      <c r="D403" s="12">
        <v>1015042</v>
      </c>
      <c r="E403" s="12">
        <v>2</v>
      </c>
      <c r="F403" s="12"/>
      <c r="G403" s="12">
        <v>508</v>
      </c>
      <c r="H403" s="12">
        <v>9.5</v>
      </c>
      <c r="I403" s="12" t="s">
        <v>386</v>
      </c>
      <c r="J403" s="12" t="s">
        <v>387</v>
      </c>
      <c r="K403" s="12" t="b">
        <v>0</v>
      </c>
      <c r="L403" s="12">
        <v>2</v>
      </c>
      <c r="M403" s="8">
        <v>2016</v>
      </c>
      <c r="N403" s="9">
        <v>0.1089</v>
      </c>
      <c r="O403" s="13">
        <v>41815</v>
      </c>
      <c r="P403" s="13">
        <v>41815</v>
      </c>
    </row>
    <row r="404" spans="1:16">
      <c r="A404" s="10">
        <v>2014</v>
      </c>
      <c r="B404" s="11" t="s">
        <v>483</v>
      </c>
      <c r="C404" s="11" t="s">
        <v>484</v>
      </c>
      <c r="D404" s="12">
        <v>1015042</v>
      </c>
      <c r="E404" s="12">
        <v>2</v>
      </c>
      <c r="F404" s="12"/>
      <c r="G404" s="12">
        <v>508</v>
      </c>
      <c r="H404" s="12">
        <v>9.5</v>
      </c>
      <c r="I404" s="12" t="s">
        <v>386</v>
      </c>
      <c r="J404" s="12" t="s">
        <v>387</v>
      </c>
      <c r="K404" s="12" t="b">
        <v>0</v>
      </c>
      <c r="L404" s="12">
        <v>5</v>
      </c>
      <c r="M404" s="8">
        <v>2019</v>
      </c>
      <c r="N404" s="9">
        <v>8.9599999999999999E-2</v>
      </c>
      <c r="O404" s="13">
        <v>41815</v>
      </c>
      <c r="P404" s="13">
        <v>41815</v>
      </c>
    </row>
    <row r="405" spans="1:16">
      <c r="A405" s="10">
        <v>2014</v>
      </c>
      <c r="B405" s="11" t="s">
        <v>483</v>
      </c>
      <c r="C405" s="11" t="s">
        <v>484</v>
      </c>
      <c r="D405" s="12">
        <v>1015042</v>
      </c>
      <c r="E405" s="12">
        <v>2</v>
      </c>
      <c r="F405" s="12"/>
      <c r="G405" s="12">
        <v>508</v>
      </c>
      <c r="H405" s="12">
        <v>9.5</v>
      </c>
      <c r="I405" s="12" t="s">
        <v>386</v>
      </c>
      <c r="J405" s="12" t="s">
        <v>387</v>
      </c>
      <c r="K405" s="12" t="b">
        <v>0</v>
      </c>
      <c r="L405" s="12">
        <v>0</v>
      </c>
      <c r="M405" s="8">
        <v>2014</v>
      </c>
      <c r="N405" s="9">
        <v>4.4699999999999997E-2</v>
      </c>
      <c r="O405" s="13">
        <v>41815</v>
      </c>
      <c r="P405" s="13">
        <v>41815</v>
      </c>
    </row>
    <row r="406" spans="1:16">
      <c r="A406" s="10">
        <v>2014</v>
      </c>
      <c r="B406" s="11" t="s">
        <v>483</v>
      </c>
      <c r="C406" s="11" t="s">
        <v>484</v>
      </c>
      <c r="D406" s="12">
        <v>1015042</v>
      </c>
      <c r="E406" s="12">
        <v>2</v>
      </c>
      <c r="F406" s="12"/>
      <c r="G406" s="12">
        <v>508</v>
      </c>
      <c r="H406" s="12">
        <v>9.5</v>
      </c>
      <c r="I406" s="12" t="s">
        <v>386</v>
      </c>
      <c r="J406" s="12" t="s">
        <v>387</v>
      </c>
      <c r="K406" s="12" t="b">
        <v>0</v>
      </c>
      <c r="L406" s="12">
        <v>4</v>
      </c>
      <c r="M406" s="8">
        <v>2018</v>
      </c>
      <c r="N406" s="9">
        <v>8.7999999999999995E-2</v>
      </c>
      <c r="O406" s="13">
        <v>41815</v>
      </c>
      <c r="P406" s="13">
        <v>41815</v>
      </c>
    </row>
    <row r="407" spans="1:16">
      <c r="A407" s="10">
        <v>2014</v>
      </c>
      <c r="B407" s="11" t="s">
        <v>483</v>
      </c>
      <c r="C407" s="11" t="s">
        <v>484</v>
      </c>
      <c r="D407" s="12">
        <v>1015042</v>
      </c>
      <c r="E407" s="12">
        <v>2</v>
      </c>
      <c r="F407" s="12"/>
      <c r="G407" s="12">
        <v>508</v>
      </c>
      <c r="H407" s="12">
        <v>9.5</v>
      </c>
      <c r="I407" s="12" t="s">
        <v>386</v>
      </c>
      <c r="J407" s="12" t="s">
        <v>387</v>
      </c>
      <c r="K407" s="12" t="b">
        <v>0</v>
      </c>
      <c r="L407" s="12">
        <v>3</v>
      </c>
      <c r="M407" s="8">
        <v>2017</v>
      </c>
      <c r="N407" s="9">
        <v>8.7999999999999995E-2</v>
      </c>
      <c r="O407" s="13">
        <v>41815</v>
      </c>
      <c r="P407" s="13">
        <v>41815</v>
      </c>
    </row>
    <row r="408" spans="1:16">
      <c r="A408" s="10">
        <v>2014</v>
      </c>
      <c r="B408" s="11" t="s">
        <v>483</v>
      </c>
      <c r="C408" s="11" t="s">
        <v>484</v>
      </c>
      <c r="D408" s="12">
        <v>1015042</v>
      </c>
      <c r="E408" s="12">
        <v>2</v>
      </c>
      <c r="F408" s="12"/>
      <c r="G408" s="12">
        <v>508</v>
      </c>
      <c r="H408" s="12">
        <v>9.5</v>
      </c>
      <c r="I408" s="12" t="s">
        <v>386</v>
      </c>
      <c r="J408" s="12" t="s">
        <v>387</v>
      </c>
      <c r="K408" s="12" t="b">
        <v>0</v>
      </c>
      <c r="L408" s="12">
        <v>1</v>
      </c>
      <c r="M408" s="8">
        <v>2015</v>
      </c>
      <c r="N408" s="9">
        <v>9.7600000000000006E-2</v>
      </c>
      <c r="O408" s="13">
        <v>41815</v>
      </c>
      <c r="P408" s="13">
        <v>41815</v>
      </c>
    </row>
    <row r="409" spans="1:16">
      <c r="A409" s="10">
        <v>2014</v>
      </c>
      <c r="B409" s="11" t="s">
        <v>483</v>
      </c>
      <c r="C409" s="11" t="s">
        <v>484</v>
      </c>
      <c r="D409" s="12">
        <v>1015042</v>
      </c>
      <c r="E409" s="12">
        <v>2</v>
      </c>
      <c r="F409" s="12"/>
      <c r="G409" s="12">
        <v>680</v>
      </c>
      <c r="H409" s="12" t="s">
        <v>99</v>
      </c>
      <c r="I409" s="12"/>
      <c r="J409" s="12" t="s">
        <v>100</v>
      </c>
      <c r="K409" s="12" t="b">
        <v>1</v>
      </c>
      <c r="L409" s="12">
        <v>0</v>
      </c>
      <c r="M409" s="8">
        <v>2014</v>
      </c>
      <c r="N409" s="9">
        <v>141827.34</v>
      </c>
      <c r="O409" s="13">
        <v>41815</v>
      </c>
      <c r="P409" s="13">
        <v>41815</v>
      </c>
    </row>
    <row r="410" spans="1:16">
      <c r="A410" s="10">
        <v>2014</v>
      </c>
      <c r="B410" s="11" t="s">
        <v>483</v>
      </c>
      <c r="C410" s="11" t="s">
        <v>484</v>
      </c>
      <c r="D410" s="12">
        <v>1015042</v>
      </c>
      <c r="E410" s="12">
        <v>2</v>
      </c>
      <c r="F410" s="12"/>
      <c r="G410" s="12">
        <v>680</v>
      </c>
      <c r="H410" s="12" t="s">
        <v>99</v>
      </c>
      <c r="I410" s="12"/>
      <c r="J410" s="12" t="s">
        <v>100</v>
      </c>
      <c r="K410" s="12" t="b">
        <v>1</v>
      </c>
      <c r="L410" s="12">
        <v>7</v>
      </c>
      <c r="M410" s="8">
        <v>2021</v>
      </c>
      <c r="N410" s="9">
        <v>0</v>
      </c>
      <c r="O410" s="13">
        <v>41815</v>
      </c>
      <c r="P410" s="13">
        <v>41815</v>
      </c>
    </row>
    <row r="411" spans="1:16">
      <c r="A411" s="10">
        <v>2014</v>
      </c>
      <c r="B411" s="11" t="s">
        <v>483</v>
      </c>
      <c r="C411" s="11" t="s">
        <v>484</v>
      </c>
      <c r="D411" s="12">
        <v>1015042</v>
      </c>
      <c r="E411" s="12">
        <v>2</v>
      </c>
      <c r="F411" s="12"/>
      <c r="G411" s="12">
        <v>680</v>
      </c>
      <c r="H411" s="12" t="s">
        <v>99</v>
      </c>
      <c r="I411" s="12"/>
      <c r="J411" s="12" t="s">
        <v>100</v>
      </c>
      <c r="K411" s="12" t="b">
        <v>1</v>
      </c>
      <c r="L411" s="12">
        <v>2</v>
      </c>
      <c r="M411" s="8">
        <v>2016</v>
      </c>
      <c r="N411" s="9">
        <v>0</v>
      </c>
      <c r="O411" s="13">
        <v>41815</v>
      </c>
      <c r="P411" s="13">
        <v>41815</v>
      </c>
    </row>
    <row r="412" spans="1:16">
      <c r="A412" s="10">
        <v>2014</v>
      </c>
      <c r="B412" s="11" t="s">
        <v>483</v>
      </c>
      <c r="C412" s="11" t="s">
        <v>484</v>
      </c>
      <c r="D412" s="12">
        <v>1015042</v>
      </c>
      <c r="E412" s="12">
        <v>2</v>
      </c>
      <c r="F412" s="12"/>
      <c r="G412" s="12">
        <v>680</v>
      </c>
      <c r="H412" s="12" t="s">
        <v>99</v>
      </c>
      <c r="I412" s="12"/>
      <c r="J412" s="12" t="s">
        <v>100</v>
      </c>
      <c r="K412" s="12" t="b">
        <v>1</v>
      </c>
      <c r="L412" s="12">
        <v>4</v>
      </c>
      <c r="M412" s="8">
        <v>2018</v>
      </c>
      <c r="N412" s="9">
        <v>0</v>
      </c>
      <c r="O412" s="13">
        <v>41815</v>
      </c>
      <c r="P412" s="13">
        <v>41815</v>
      </c>
    </row>
    <row r="413" spans="1:16">
      <c r="A413" s="10">
        <v>2014</v>
      </c>
      <c r="B413" s="11" t="s">
        <v>483</v>
      </c>
      <c r="C413" s="11" t="s">
        <v>484</v>
      </c>
      <c r="D413" s="12">
        <v>1015042</v>
      </c>
      <c r="E413" s="12">
        <v>2</v>
      </c>
      <c r="F413" s="12"/>
      <c r="G413" s="12">
        <v>680</v>
      </c>
      <c r="H413" s="12" t="s">
        <v>99</v>
      </c>
      <c r="I413" s="12"/>
      <c r="J413" s="12" t="s">
        <v>100</v>
      </c>
      <c r="K413" s="12" t="b">
        <v>1</v>
      </c>
      <c r="L413" s="12">
        <v>8</v>
      </c>
      <c r="M413" s="8">
        <v>2022</v>
      </c>
      <c r="N413" s="9">
        <v>0</v>
      </c>
      <c r="O413" s="13">
        <v>41815</v>
      </c>
      <c r="P413" s="13">
        <v>41815</v>
      </c>
    </row>
    <row r="414" spans="1:16">
      <c r="A414" s="10">
        <v>2014</v>
      </c>
      <c r="B414" s="11" t="s">
        <v>483</v>
      </c>
      <c r="C414" s="11" t="s">
        <v>484</v>
      </c>
      <c r="D414" s="12">
        <v>1015042</v>
      </c>
      <c r="E414" s="12">
        <v>2</v>
      </c>
      <c r="F414" s="12"/>
      <c r="G414" s="12">
        <v>680</v>
      </c>
      <c r="H414" s="12" t="s">
        <v>99</v>
      </c>
      <c r="I414" s="12"/>
      <c r="J414" s="12" t="s">
        <v>100</v>
      </c>
      <c r="K414" s="12" t="b">
        <v>1</v>
      </c>
      <c r="L414" s="12">
        <v>5</v>
      </c>
      <c r="M414" s="8">
        <v>2019</v>
      </c>
      <c r="N414" s="9">
        <v>0</v>
      </c>
      <c r="O414" s="13">
        <v>41815</v>
      </c>
      <c r="P414" s="13">
        <v>41815</v>
      </c>
    </row>
    <row r="415" spans="1:16">
      <c r="A415" s="10">
        <v>2014</v>
      </c>
      <c r="B415" s="11" t="s">
        <v>483</v>
      </c>
      <c r="C415" s="11" t="s">
        <v>484</v>
      </c>
      <c r="D415" s="12">
        <v>1015042</v>
      </c>
      <c r="E415" s="12">
        <v>2</v>
      </c>
      <c r="F415" s="12"/>
      <c r="G415" s="12">
        <v>680</v>
      </c>
      <c r="H415" s="12" t="s">
        <v>99</v>
      </c>
      <c r="I415" s="12"/>
      <c r="J415" s="12" t="s">
        <v>100</v>
      </c>
      <c r="K415" s="12" t="b">
        <v>1</v>
      </c>
      <c r="L415" s="12">
        <v>1</v>
      </c>
      <c r="M415" s="8">
        <v>2015</v>
      </c>
      <c r="N415" s="9">
        <v>60298.32</v>
      </c>
      <c r="O415" s="13">
        <v>41815</v>
      </c>
      <c r="P415" s="13">
        <v>41815</v>
      </c>
    </row>
    <row r="416" spans="1:16">
      <c r="A416" s="10">
        <v>2014</v>
      </c>
      <c r="B416" s="11" t="s">
        <v>483</v>
      </c>
      <c r="C416" s="11" t="s">
        <v>484</v>
      </c>
      <c r="D416" s="12">
        <v>1015042</v>
      </c>
      <c r="E416" s="12">
        <v>2</v>
      </c>
      <c r="F416" s="12"/>
      <c r="G416" s="12">
        <v>680</v>
      </c>
      <c r="H416" s="12" t="s">
        <v>99</v>
      </c>
      <c r="I416" s="12"/>
      <c r="J416" s="12" t="s">
        <v>100</v>
      </c>
      <c r="K416" s="12" t="b">
        <v>1</v>
      </c>
      <c r="L416" s="12">
        <v>6</v>
      </c>
      <c r="M416" s="8">
        <v>2020</v>
      </c>
      <c r="N416" s="9">
        <v>0</v>
      </c>
      <c r="O416" s="13">
        <v>41815</v>
      </c>
      <c r="P416" s="13">
        <v>41815</v>
      </c>
    </row>
    <row r="417" spans="1:16">
      <c r="A417" s="10">
        <v>2014</v>
      </c>
      <c r="B417" s="11" t="s">
        <v>483</v>
      </c>
      <c r="C417" s="11" t="s">
        <v>484</v>
      </c>
      <c r="D417" s="12">
        <v>1015042</v>
      </c>
      <c r="E417" s="12">
        <v>2</v>
      </c>
      <c r="F417" s="12"/>
      <c r="G417" s="12">
        <v>680</v>
      </c>
      <c r="H417" s="12" t="s">
        <v>99</v>
      </c>
      <c r="I417" s="12"/>
      <c r="J417" s="12" t="s">
        <v>100</v>
      </c>
      <c r="K417" s="12" t="b">
        <v>1</v>
      </c>
      <c r="L417" s="12">
        <v>3</v>
      </c>
      <c r="M417" s="8">
        <v>2017</v>
      </c>
      <c r="N417" s="9">
        <v>0</v>
      </c>
      <c r="O417" s="13">
        <v>41815</v>
      </c>
      <c r="P417" s="13">
        <v>41815</v>
      </c>
    </row>
    <row r="418" spans="1:16">
      <c r="A418" s="10">
        <v>2014</v>
      </c>
      <c r="B418" s="11" t="s">
        <v>483</v>
      </c>
      <c r="C418" s="11" t="s">
        <v>484</v>
      </c>
      <c r="D418" s="12">
        <v>1015042</v>
      </c>
      <c r="E418" s="12">
        <v>2</v>
      </c>
      <c r="F418" s="12"/>
      <c r="G418" s="12">
        <v>920</v>
      </c>
      <c r="H418" s="12" t="s">
        <v>132</v>
      </c>
      <c r="I418" s="12"/>
      <c r="J418" s="12" t="s">
        <v>410</v>
      </c>
      <c r="K418" s="12" t="b">
        <v>1</v>
      </c>
      <c r="L418" s="12">
        <v>4</v>
      </c>
      <c r="M418" s="8">
        <v>2018</v>
      </c>
      <c r="N418" s="9">
        <v>0</v>
      </c>
      <c r="O418" s="13">
        <v>41815</v>
      </c>
      <c r="P418" s="13">
        <v>41815</v>
      </c>
    </row>
    <row r="419" spans="1:16">
      <c r="A419" s="10">
        <v>2014</v>
      </c>
      <c r="B419" s="11" t="s">
        <v>483</v>
      </c>
      <c r="C419" s="11" t="s">
        <v>484</v>
      </c>
      <c r="D419" s="12">
        <v>1015042</v>
      </c>
      <c r="E419" s="12">
        <v>2</v>
      </c>
      <c r="F419" s="12"/>
      <c r="G419" s="12">
        <v>920</v>
      </c>
      <c r="H419" s="12" t="s">
        <v>132</v>
      </c>
      <c r="I419" s="12"/>
      <c r="J419" s="12" t="s">
        <v>410</v>
      </c>
      <c r="K419" s="12" t="b">
        <v>1</v>
      </c>
      <c r="L419" s="12">
        <v>6</v>
      </c>
      <c r="M419" s="8">
        <v>2020</v>
      </c>
      <c r="N419" s="9">
        <v>0</v>
      </c>
      <c r="O419" s="13">
        <v>41815</v>
      </c>
      <c r="P419" s="13">
        <v>41815</v>
      </c>
    </row>
    <row r="420" spans="1:16">
      <c r="A420" s="10">
        <v>2014</v>
      </c>
      <c r="B420" s="11" t="s">
        <v>483</v>
      </c>
      <c r="C420" s="11" t="s">
        <v>484</v>
      </c>
      <c r="D420" s="12">
        <v>1015042</v>
      </c>
      <c r="E420" s="12">
        <v>2</v>
      </c>
      <c r="F420" s="12"/>
      <c r="G420" s="12">
        <v>920</v>
      </c>
      <c r="H420" s="12" t="s">
        <v>132</v>
      </c>
      <c r="I420" s="12"/>
      <c r="J420" s="12" t="s">
        <v>410</v>
      </c>
      <c r="K420" s="12" t="b">
        <v>1</v>
      </c>
      <c r="L420" s="12">
        <v>3</v>
      </c>
      <c r="M420" s="8">
        <v>2017</v>
      </c>
      <c r="N420" s="9">
        <v>0</v>
      </c>
      <c r="O420" s="13">
        <v>41815</v>
      </c>
      <c r="P420" s="13">
        <v>41815</v>
      </c>
    </row>
    <row r="421" spans="1:16">
      <c r="A421" s="10">
        <v>2014</v>
      </c>
      <c r="B421" s="11" t="s">
        <v>483</v>
      </c>
      <c r="C421" s="11" t="s">
        <v>484</v>
      </c>
      <c r="D421" s="12">
        <v>1015042</v>
      </c>
      <c r="E421" s="12">
        <v>2</v>
      </c>
      <c r="F421" s="12"/>
      <c r="G421" s="12">
        <v>920</v>
      </c>
      <c r="H421" s="12" t="s">
        <v>132</v>
      </c>
      <c r="I421" s="12"/>
      <c r="J421" s="12" t="s">
        <v>410</v>
      </c>
      <c r="K421" s="12" t="b">
        <v>1</v>
      </c>
      <c r="L421" s="12">
        <v>2</v>
      </c>
      <c r="M421" s="8">
        <v>2016</v>
      </c>
      <c r="N421" s="9">
        <v>0</v>
      </c>
      <c r="O421" s="13">
        <v>41815</v>
      </c>
      <c r="P421" s="13">
        <v>41815</v>
      </c>
    </row>
    <row r="422" spans="1:16">
      <c r="A422" s="10">
        <v>2014</v>
      </c>
      <c r="B422" s="11" t="s">
        <v>483</v>
      </c>
      <c r="C422" s="11" t="s">
        <v>484</v>
      </c>
      <c r="D422" s="12">
        <v>1015042</v>
      </c>
      <c r="E422" s="12">
        <v>2</v>
      </c>
      <c r="F422" s="12"/>
      <c r="G422" s="12">
        <v>920</v>
      </c>
      <c r="H422" s="12" t="s">
        <v>132</v>
      </c>
      <c r="I422" s="12"/>
      <c r="J422" s="12" t="s">
        <v>410</v>
      </c>
      <c r="K422" s="12" t="b">
        <v>1</v>
      </c>
      <c r="L422" s="12">
        <v>1</v>
      </c>
      <c r="M422" s="8">
        <v>2015</v>
      </c>
      <c r="N422" s="9">
        <v>0</v>
      </c>
      <c r="O422" s="13">
        <v>41815</v>
      </c>
      <c r="P422" s="13">
        <v>41815</v>
      </c>
    </row>
    <row r="423" spans="1:16">
      <c r="A423" s="10">
        <v>2014</v>
      </c>
      <c r="B423" s="11" t="s">
        <v>483</v>
      </c>
      <c r="C423" s="11" t="s">
        <v>484</v>
      </c>
      <c r="D423" s="12">
        <v>1015042</v>
      </c>
      <c r="E423" s="12">
        <v>2</v>
      </c>
      <c r="F423" s="12"/>
      <c r="G423" s="12">
        <v>920</v>
      </c>
      <c r="H423" s="12" t="s">
        <v>132</v>
      </c>
      <c r="I423" s="12"/>
      <c r="J423" s="12" t="s">
        <v>410</v>
      </c>
      <c r="K423" s="12" t="b">
        <v>1</v>
      </c>
      <c r="L423" s="12">
        <v>8</v>
      </c>
      <c r="M423" s="8">
        <v>2022</v>
      </c>
      <c r="N423" s="9">
        <v>0</v>
      </c>
      <c r="O423" s="13">
        <v>41815</v>
      </c>
      <c r="P423" s="13">
        <v>41815</v>
      </c>
    </row>
    <row r="424" spans="1:16">
      <c r="A424" s="10">
        <v>2014</v>
      </c>
      <c r="B424" s="11" t="s">
        <v>483</v>
      </c>
      <c r="C424" s="11" t="s">
        <v>484</v>
      </c>
      <c r="D424" s="12">
        <v>1015042</v>
      </c>
      <c r="E424" s="12">
        <v>2</v>
      </c>
      <c r="F424" s="12"/>
      <c r="G424" s="12">
        <v>920</v>
      </c>
      <c r="H424" s="12" t="s">
        <v>132</v>
      </c>
      <c r="I424" s="12"/>
      <c r="J424" s="12" t="s">
        <v>410</v>
      </c>
      <c r="K424" s="12" t="b">
        <v>1</v>
      </c>
      <c r="L424" s="12">
        <v>7</v>
      </c>
      <c r="M424" s="8">
        <v>2021</v>
      </c>
      <c r="N424" s="9">
        <v>0</v>
      </c>
      <c r="O424" s="13">
        <v>41815</v>
      </c>
      <c r="P424" s="13">
        <v>41815</v>
      </c>
    </row>
    <row r="425" spans="1:16">
      <c r="A425" s="10">
        <v>2014</v>
      </c>
      <c r="B425" s="11" t="s">
        <v>483</v>
      </c>
      <c r="C425" s="11" t="s">
        <v>484</v>
      </c>
      <c r="D425" s="12">
        <v>1015042</v>
      </c>
      <c r="E425" s="12">
        <v>2</v>
      </c>
      <c r="F425" s="12"/>
      <c r="G425" s="12">
        <v>920</v>
      </c>
      <c r="H425" s="12" t="s">
        <v>132</v>
      </c>
      <c r="I425" s="12"/>
      <c r="J425" s="12" t="s">
        <v>410</v>
      </c>
      <c r="K425" s="12" t="b">
        <v>1</v>
      </c>
      <c r="L425" s="12">
        <v>5</v>
      </c>
      <c r="M425" s="8">
        <v>2019</v>
      </c>
      <c r="N425" s="9">
        <v>0</v>
      </c>
      <c r="O425" s="13">
        <v>41815</v>
      </c>
      <c r="P425" s="13">
        <v>41815</v>
      </c>
    </row>
    <row r="426" spans="1:16">
      <c r="A426" s="10">
        <v>2014</v>
      </c>
      <c r="B426" s="11" t="s">
        <v>483</v>
      </c>
      <c r="C426" s="11" t="s">
        <v>484</v>
      </c>
      <c r="D426" s="12">
        <v>1015042</v>
      </c>
      <c r="E426" s="12">
        <v>2</v>
      </c>
      <c r="F426" s="12"/>
      <c r="G426" s="12">
        <v>920</v>
      </c>
      <c r="H426" s="12" t="s">
        <v>132</v>
      </c>
      <c r="I426" s="12"/>
      <c r="J426" s="12" t="s">
        <v>410</v>
      </c>
      <c r="K426" s="12" t="b">
        <v>1</v>
      </c>
      <c r="L426" s="12">
        <v>0</v>
      </c>
      <c r="M426" s="8">
        <v>2014</v>
      </c>
      <c r="N426" s="9">
        <v>0</v>
      </c>
      <c r="O426" s="13">
        <v>41815</v>
      </c>
      <c r="P426" s="13">
        <v>41815</v>
      </c>
    </row>
    <row r="427" spans="1:16">
      <c r="A427" s="10">
        <v>2014</v>
      </c>
      <c r="B427" s="11" t="s">
        <v>483</v>
      </c>
      <c r="C427" s="11" t="s">
        <v>484</v>
      </c>
      <c r="D427" s="12">
        <v>1015042</v>
      </c>
      <c r="E427" s="12">
        <v>2</v>
      </c>
      <c r="F427" s="12"/>
      <c r="G427" s="12">
        <v>70</v>
      </c>
      <c r="H427" s="12" t="s">
        <v>49</v>
      </c>
      <c r="I427" s="12"/>
      <c r="J427" s="12" t="s">
        <v>50</v>
      </c>
      <c r="K427" s="12" t="b">
        <v>1</v>
      </c>
      <c r="L427" s="12">
        <v>8</v>
      </c>
      <c r="M427" s="8">
        <v>2022</v>
      </c>
      <c r="N427" s="9">
        <v>0</v>
      </c>
      <c r="O427" s="13">
        <v>41815</v>
      </c>
      <c r="P427" s="13">
        <v>41815</v>
      </c>
    </row>
    <row r="428" spans="1:16">
      <c r="A428" s="10">
        <v>2014</v>
      </c>
      <c r="B428" s="11" t="s">
        <v>483</v>
      </c>
      <c r="C428" s="11" t="s">
        <v>484</v>
      </c>
      <c r="D428" s="12">
        <v>1015042</v>
      </c>
      <c r="E428" s="12">
        <v>2</v>
      </c>
      <c r="F428" s="12"/>
      <c r="G428" s="12">
        <v>70</v>
      </c>
      <c r="H428" s="12" t="s">
        <v>49</v>
      </c>
      <c r="I428" s="12"/>
      <c r="J428" s="12" t="s">
        <v>50</v>
      </c>
      <c r="K428" s="12" t="b">
        <v>1</v>
      </c>
      <c r="L428" s="12">
        <v>7</v>
      </c>
      <c r="M428" s="8">
        <v>2021</v>
      </c>
      <c r="N428" s="9">
        <v>0</v>
      </c>
      <c r="O428" s="13">
        <v>41815</v>
      </c>
      <c r="P428" s="13">
        <v>41815</v>
      </c>
    </row>
    <row r="429" spans="1:16">
      <c r="A429" s="10">
        <v>2014</v>
      </c>
      <c r="B429" s="11" t="s">
        <v>483</v>
      </c>
      <c r="C429" s="11" t="s">
        <v>484</v>
      </c>
      <c r="D429" s="12">
        <v>1015042</v>
      </c>
      <c r="E429" s="12">
        <v>2</v>
      </c>
      <c r="F429" s="12"/>
      <c r="G429" s="12">
        <v>70</v>
      </c>
      <c r="H429" s="12" t="s">
        <v>49</v>
      </c>
      <c r="I429" s="12"/>
      <c r="J429" s="12" t="s">
        <v>50</v>
      </c>
      <c r="K429" s="12" t="b">
        <v>1</v>
      </c>
      <c r="L429" s="12">
        <v>1</v>
      </c>
      <c r="M429" s="8">
        <v>2015</v>
      </c>
      <c r="N429" s="9">
        <v>2969796</v>
      </c>
      <c r="O429" s="13">
        <v>41815</v>
      </c>
      <c r="P429" s="13">
        <v>41815</v>
      </c>
    </row>
    <row r="430" spans="1:16">
      <c r="A430" s="10">
        <v>2014</v>
      </c>
      <c r="B430" s="11" t="s">
        <v>483</v>
      </c>
      <c r="C430" s="11" t="s">
        <v>484</v>
      </c>
      <c r="D430" s="12">
        <v>1015042</v>
      </c>
      <c r="E430" s="12">
        <v>2</v>
      </c>
      <c r="F430" s="12"/>
      <c r="G430" s="12">
        <v>70</v>
      </c>
      <c r="H430" s="12" t="s">
        <v>49</v>
      </c>
      <c r="I430" s="12"/>
      <c r="J430" s="12" t="s">
        <v>50</v>
      </c>
      <c r="K430" s="12" t="b">
        <v>1</v>
      </c>
      <c r="L430" s="12">
        <v>0</v>
      </c>
      <c r="M430" s="8">
        <v>2014</v>
      </c>
      <c r="N430" s="9">
        <v>2880936</v>
      </c>
      <c r="O430" s="13">
        <v>41815</v>
      </c>
      <c r="P430" s="13">
        <v>41815</v>
      </c>
    </row>
    <row r="431" spans="1:16">
      <c r="A431" s="10">
        <v>2014</v>
      </c>
      <c r="B431" s="11" t="s">
        <v>483</v>
      </c>
      <c r="C431" s="11" t="s">
        <v>484</v>
      </c>
      <c r="D431" s="12">
        <v>1015042</v>
      </c>
      <c r="E431" s="12">
        <v>2</v>
      </c>
      <c r="F431" s="12"/>
      <c r="G431" s="12">
        <v>70</v>
      </c>
      <c r="H431" s="12" t="s">
        <v>49</v>
      </c>
      <c r="I431" s="12"/>
      <c r="J431" s="12" t="s">
        <v>50</v>
      </c>
      <c r="K431" s="12" t="b">
        <v>1</v>
      </c>
      <c r="L431" s="12">
        <v>5</v>
      </c>
      <c r="M431" s="8">
        <v>2019</v>
      </c>
      <c r="N431" s="9">
        <v>0</v>
      </c>
      <c r="O431" s="13">
        <v>41815</v>
      </c>
      <c r="P431" s="13">
        <v>41815</v>
      </c>
    </row>
    <row r="432" spans="1:16">
      <c r="A432" s="10">
        <v>2014</v>
      </c>
      <c r="B432" s="11" t="s">
        <v>483</v>
      </c>
      <c r="C432" s="11" t="s">
        <v>484</v>
      </c>
      <c r="D432" s="12">
        <v>1015042</v>
      </c>
      <c r="E432" s="12">
        <v>2</v>
      </c>
      <c r="F432" s="12"/>
      <c r="G432" s="12">
        <v>70</v>
      </c>
      <c r="H432" s="12" t="s">
        <v>49</v>
      </c>
      <c r="I432" s="12"/>
      <c r="J432" s="12" t="s">
        <v>50</v>
      </c>
      <c r="K432" s="12" t="b">
        <v>1</v>
      </c>
      <c r="L432" s="12">
        <v>6</v>
      </c>
      <c r="M432" s="8">
        <v>2020</v>
      </c>
      <c r="N432" s="9">
        <v>0</v>
      </c>
      <c r="O432" s="13">
        <v>41815</v>
      </c>
      <c r="P432" s="13">
        <v>41815</v>
      </c>
    </row>
    <row r="433" spans="1:16">
      <c r="A433" s="10">
        <v>2014</v>
      </c>
      <c r="B433" s="11" t="s">
        <v>483</v>
      </c>
      <c r="C433" s="11" t="s">
        <v>484</v>
      </c>
      <c r="D433" s="12">
        <v>1015042</v>
      </c>
      <c r="E433" s="12">
        <v>2</v>
      </c>
      <c r="F433" s="12"/>
      <c r="G433" s="12">
        <v>70</v>
      </c>
      <c r="H433" s="12" t="s">
        <v>49</v>
      </c>
      <c r="I433" s="12"/>
      <c r="J433" s="12" t="s">
        <v>50</v>
      </c>
      <c r="K433" s="12" t="b">
        <v>1</v>
      </c>
      <c r="L433" s="12">
        <v>4</v>
      </c>
      <c r="M433" s="8">
        <v>2018</v>
      </c>
      <c r="N433" s="9">
        <v>0</v>
      </c>
      <c r="O433" s="13">
        <v>41815</v>
      </c>
      <c r="P433" s="13">
        <v>41815</v>
      </c>
    </row>
    <row r="434" spans="1:16">
      <c r="A434" s="10">
        <v>2014</v>
      </c>
      <c r="B434" s="11" t="s">
        <v>483</v>
      </c>
      <c r="C434" s="11" t="s">
        <v>484</v>
      </c>
      <c r="D434" s="12">
        <v>1015042</v>
      </c>
      <c r="E434" s="12">
        <v>2</v>
      </c>
      <c r="F434" s="12"/>
      <c r="G434" s="12">
        <v>70</v>
      </c>
      <c r="H434" s="12" t="s">
        <v>49</v>
      </c>
      <c r="I434" s="12"/>
      <c r="J434" s="12" t="s">
        <v>50</v>
      </c>
      <c r="K434" s="12" t="b">
        <v>1</v>
      </c>
      <c r="L434" s="12">
        <v>3</v>
      </c>
      <c r="M434" s="8">
        <v>2017</v>
      </c>
      <c r="N434" s="9">
        <v>3150657</v>
      </c>
      <c r="O434" s="13">
        <v>41815</v>
      </c>
      <c r="P434" s="13">
        <v>41815</v>
      </c>
    </row>
    <row r="435" spans="1:16">
      <c r="A435" s="10">
        <v>2014</v>
      </c>
      <c r="B435" s="11" t="s">
        <v>483</v>
      </c>
      <c r="C435" s="11" t="s">
        <v>484</v>
      </c>
      <c r="D435" s="12">
        <v>1015042</v>
      </c>
      <c r="E435" s="12">
        <v>2</v>
      </c>
      <c r="F435" s="12"/>
      <c r="G435" s="12">
        <v>70</v>
      </c>
      <c r="H435" s="12" t="s">
        <v>49</v>
      </c>
      <c r="I435" s="12"/>
      <c r="J435" s="12" t="s">
        <v>50</v>
      </c>
      <c r="K435" s="12" t="b">
        <v>1</v>
      </c>
      <c r="L435" s="12">
        <v>2</v>
      </c>
      <c r="M435" s="8">
        <v>2016</v>
      </c>
      <c r="N435" s="9">
        <v>3058890</v>
      </c>
      <c r="O435" s="13">
        <v>41815</v>
      </c>
      <c r="P435" s="13">
        <v>41815</v>
      </c>
    </row>
    <row r="436" spans="1:16">
      <c r="A436" s="10">
        <v>2014</v>
      </c>
      <c r="B436" s="11" t="s">
        <v>483</v>
      </c>
      <c r="C436" s="11" t="s">
        <v>484</v>
      </c>
      <c r="D436" s="12">
        <v>1015042</v>
      </c>
      <c r="E436" s="12">
        <v>2</v>
      </c>
      <c r="F436" s="12"/>
      <c r="G436" s="12">
        <v>310</v>
      </c>
      <c r="H436" s="12">
        <v>5.0999999999999996</v>
      </c>
      <c r="I436" s="12"/>
      <c r="J436" s="12" t="s">
        <v>77</v>
      </c>
      <c r="K436" s="12" t="b">
        <v>1</v>
      </c>
      <c r="L436" s="12">
        <v>0</v>
      </c>
      <c r="M436" s="8">
        <v>2014</v>
      </c>
      <c r="N436" s="9">
        <v>472621</v>
      </c>
      <c r="O436" s="13">
        <v>41815</v>
      </c>
      <c r="P436" s="13">
        <v>41815</v>
      </c>
    </row>
    <row r="437" spans="1:16">
      <c r="A437" s="10">
        <v>2014</v>
      </c>
      <c r="B437" s="11" t="s">
        <v>483</v>
      </c>
      <c r="C437" s="11" t="s">
        <v>484</v>
      </c>
      <c r="D437" s="12">
        <v>1015042</v>
      </c>
      <c r="E437" s="12">
        <v>2</v>
      </c>
      <c r="F437" s="12"/>
      <c r="G437" s="12">
        <v>310</v>
      </c>
      <c r="H437" s="12">
        <v>5.0999999999999996</v>
      </c>
      <c r="I437" s="12"/>
      <c r="J437" s="12" t="s">
        <v>77</v>
      </c>
      <c r="K437" s="12" t="b">
        <v>1</v>
      </c>
      <c r="L437" s="12">
        <v>4</v>
      </c>
      <c r="M437" s="8">
        <v>2018</v>
      </c>
      <c r="N437" s="9">
        <v>350000</v>
      </c>
      <c r="O437" s="13">
        <v>41815</v>
      </c>
      <c r="P437" s="13">
        <v>41815</v>
      </c>
    </row>
    <row r="438" spans="1:16">
      <c r="A438" s="10">
        <v>2014</v>
      </c>
      <c r="B438" s="11" t="s">
        <v>483</v>
      </c>
      <c r="C438" s="11" t="s">
        <v>484</v>
      </c>
      <c r="D438" s="12">
        <v>1015042</v>
      </c>
      <c r="E438" s="12">
        <v>2</v>
      </c>
      <c r="F438" s="12"/>
      <c r="G438" s="12">
        <v>310</v>
      </c>
      <c r="H438" s="12">
        <v>5.0999999999999996</v>
      </c>
      <c r="I438" s="12"/>
      <c r="J438" s="12" t="s">
        <v>77</v>
      </c>
      <c r="K438" s="12" t="b">
        <v>1</v>
      </c>
      <c r="L438" s="12">
        <v>5</v>
      </c>
      <c r="M438" s="8">
        <v>2019</v>
      </c>
      <c r="N438" s="9">
        <v>300000</v>
      </c>
      <c r="O438" s="13">
        <v>41815</v>
      </c>
      <c r="P438" s="13">
        <v>41815</v>
      </c>
    </row>
    <row r="439" spans="1:16">
      <c r="A439" s="10">
        <v>2014</v>
      </c>
      <c r="B439" s="11" t="s">
        <v>483</v>
      </c>
      <c r="C439" s="11" t="s">
        <v>484</v>
      </c>
      <c r="D439" s="12">
        <v>1015042</v>
      </c>
      <c r="E439" s="12">
        <v>2</v>
      </c>
      <c r="F439" s="12"/>
      <c r="G439" s="12">
        <v>310</v>
      </c>
      <c r="H439" s="12">
        <v>5.0999999999999996</v>
      </c>
      <c r="I439" s="12"/>
      <c r="J439" s="12" t="s">
        <v>77</v>
      </c>
      <c r="K439" s="12" t="b">
        <v>1</v>
      </c>
      <c r="L439" s="12">
        <v>6</v>
      </c>
      <c r="M439" s="8">
        <v>2020</v>
      </c>
      <c r="N439" s="9">
        <v>250000</v>
      </c>
      <c r="O439" s="13">
        <v>41815</v>
      </c>
      <c r="P439" s="13">
        <v>41815</v>
      </c>
    </row>
    <row r="440" spans="1:16">
      <c r="A440" s="10">
        <v>2014</v>
      </c>
      <c r="B440" s="11" t="s">
        <v>483</v>
      </c>
      <c r="C440" s="11" t="s">
        <v>484</v>
      </c>
      <c r="D440" s="12">
        <v>1015042</v>
      </c>
      <c r="E440" s="12">
        <v>2</v>
      </c>
      <c r="F440" s="12"/>
      <c r="G440" s="12">
        <v>310</v>
      </c>
      <c r="H440" s="12">
        <v>5.0999999999999996</v>
      </c>
      <c r="I440" s="12"/>
      <c r="J440" s="12" t="s">
        <v>77</v>
      </c>
      <c r="K440" s="12" t="b">
        <v>1</v>
      </c>
      <c r="L440" s="12">
        <v>8</v>
      </c>
      <c r="M440" s="8">
        <v>2022</v>
      </c>
      <c r="N440" s="9">
        <v>38333.15</v>
      </c>
      <c r="O440" s="13">
        <v>41815</v>
      </c>
      <c r="P440" s="13">
        <v>41815</v>
      </c>
    </row>
    <row r="441" spans="1:16">
      <c r="A441" s="10">
        <v>2014</v>
      </c>
      <c r="B441" s="11" t="s">
        <v>483</v>
      </c>
      <c r="C441" s="11" t="s">
        <v>484</v>
      </c>
      <c r="D441" s="12">
        <v>1015042</v>
      </c>
      <c r="E441" s="12">
        <v>2</v>
      </c>
      <c r="F441" s="12"/>
      <c r="G441" s="12">
        <v>310</v>
      </c>
      <c r="H441" s="12">
        <v>5.0999999999999996</v>
      </c>
      <c r="I441" s="12"/>
      <c r="J441" s="12" t="s">
        <v>77</v>
      </c>
      <c r="K441" s="12" t="b">
        <v>1</v>
      </c>
      <c r="L441" s="12">
        <v>3</v>
      </c>
      <c r="M441" s="8">
        <v>2017</v>
      </c>
      <c r="N441" s="9">
        <v>450000</v>
      </c>
      <c r="O441" s="13">
        <v>41815</v>
      </c>
      <c r="P441" s="13">
        <v>41815</v>
      </c>
    </row>
    <row r="442" spans="1:16">
      <c r="A442" s="10">
        <v>2014</v>
      </c>
      <c r="B442" s="11" t="s">
        <v>483</v>
      </c>
      <c r="C442" s="11" t="s">
        <v>484</v>
      </c>
      <c r="D442" s="12">
        <v>1015042</v>
      </c>
      <c r="E442" s="12">
        <v>2</v>
      </c>
      <c r="F442" s="12"/>
      <c r="G442" s="12">
        <v>310</v>
      </c>
      <c r="H442" s="12">
        <v>5.0999999999999996</v>
      </c>
      <c r="I442" s="12"/>
      <c r="J442" s="12" t="s">
        <v>77</v>
      </c>
      <c r="K442" s="12" t="b">
        <v>1</v>
      </c>
      <c r="L442" s="12">
        <v>2</v>
      </c>
      <c r="M442" s="8">
        <v>2016</v>
      </c>
      <c r="N442" s="9">
        <v>518457</v>
      </c>
      <c r="O442" s="13">
        <v>41815</v>
      </c>
      <c r="P442" s="13">
        <v>41815</v>
      </c>
    </row>
    <row r="443" spans="1:16">
      <c r="A443" s="10">
        <v>2014</v>
      </c>
      <c r="B443" s="11" t="s">
        <v>483</v>
      </c>
      <c r="C443" s="11" t="s">
        <v>484</v>
      </c>
      <c r="D443" s="12">
        <v>1015042</v>
      </c>
      <c r="E443" s="12">
        <v>2</v>
      </c>
      <c r="F443" s="12"/>
      <c r="G443" s="12">
        <v>310</v>
      </c>
      <c r="H443" s="12">
        <v>5.0999999999999996</v>
      </c>
      <c r="I443" s="12"/>
      <c r="J443" s="12" t="s">
        <v>77</v>
      </c>
      <c r="K443" s="12" t="b">
        <v>1</v>
      </c>
      <c r="L443" s="12">
        <v>1</v>
      </c>
      <c r="M443" s="8">
        <v>2015</v>
      </c>
      <c r="N443" s="9">
        <v>537692</v>
      </c>
      <c r="O443" s="13">
        <v>41815</v>
      </c>
      <c r="P443" s="13">
        <v>41815</v>
      </c>
    </row>
    <row r="444" spans="1:16">
      <c r="A444" s="10">
        <v>2014</v>
      </c>
      <c r="B444" s="11" t="s">
        <v>483</v>
      </c>
      <c r="C444" s="11" t="s">
        <v>484</v>
      </c>
      <c r="D444" s="12">
        <v>1015042</v>
      </c>
      <c r="E444" s="12">
        <v>2</v>
      </c>
      <c r="F444" s="12"/>
      <c r="G444" s="12">
        <v>310</v>
      </c>
      <c r="H444" s="12">
        <v>5.0999999999999996</v>
      </c>
      <c r="I444" s="12"/>
      <c r="J444" s="12" t="s">
        <v>77</v>
      </c>
      <c r="K444" s="12" t="b">
        <v>1</v>
      </c>
      <c r="L444" s="12">
        <v>7</v>
      </c>
      <c r="M444" s="8">
        <v>2021</v>
      </c>
      <c r="N444" s="9">
        <v>100000</v>
      </c>
      <c r="O444" s="13">
        <v>41815</v>
      </c>
      <c r="P444" s="13">
        <v>41815</v>
      </c>
    </row>
    <row r="445" spans="1:16">
      <c r="A445" s="10">
        <v>2014</v>
      </c>
      <c r="B445" s="11" t="s">
        <v>483</v>
      </c>
      <c r="C445" s="11" t="s">
        <v>484</v>
      </c>
      <c r="D445" s="12">
        <v>1015042</v>
      </c>
      <c r="E445" s="12">
        <v>2</v>
      </c>
      <c r="F445" s="12"/>
      <c r="G445" s="12">
        <v>660</v>
      </c>
      <c r="H445" s="12">
        <v>12</v>
      </c>
      <c r="I445" s="12"/>
      <c r="J445" s="12" t="s">
        <v>97</v>
      </c>
      <c r="K445" s="12" t="b">
        <v>1</v>
      </c>
      <c r="L445" s="12">
        <v>0</v>
      </c>
      <c r="M445" s="8">
        <v>2014</v>
      </c>
      <c r="N445" s="9">
        <v>0</v>
      </c>
      <c r="O445" s="13">
        <v>41815</v>
      </c>
      <c r="P445" s="13">
        <v>41815</v>
      </c>
    </row>
    <row r="446" spans="1:16">
      <c r="A446" s="10">
        <v>2014</v>
      </c>
      <c r="B446" s="11" t="s">
        <v>483</v>
      </c>
      <c r="C446" s="11" t="s">
        <v>484</v>
      </c>
      <c r="D446" s="12">
        <v>1015042</v>
      </c>
      <c r="E446" s="12">
        <v>2</v>
      </c>
      <c r="F446" s="12"/>
      <c r="G446" s="12">
        <v>660</v>
      </c>
      <c r="H446" s="12">
        <v>12</v>
      </c>
      <c r="I446" s="12"/>
      <c r="J446" s="12" t="s">
        <v>97</v>
      </c>
      <c r="K446" s="12" t="b">
        <v>1</v>
      </c>
      <c r="L446" s="12">
        <v>1</v>
      </c>
      <c r="M446" s="8">
        <v>2015</v>
      </c>
      <c r="N446" s="9">
        <v>0</v>
      </c>
      <c r="O446" s="13">
        <v>41815</v>
      </c>
      <c r="P446" s="13">
        <v>41815</v>
      </c>
    </row>
    <row r="447" spans="1:16">
      <c r="A447" s="10">
        <v>2014</v>
      </c>
      <c r="B447" s="11" t="s">
        <v>483</v>
      </c>
      <c r="C447" s="11" t="s">
        <v>484</v>
      </c>
      <c r="D447" s="12">
        <v>1015042</v>
      </c>
      <c r="E447" s="12">
        <v>2</v>
      </c>
      <c r="F447" s="12"/>
      <c r="G447" s="12">
        <v>660</v>
      </c>
      <c r="H447" s="12">
        <v>12</v>
      </c>
      <c r="I447" s="12"/>
      <c r="J447" s="12" t="s">
        <v>97</v>
      </c>
      <c r="K447" s="12" t="b">
        <v>1</v>
      </c>
      <c r="L447" s="12">
        <v>5</v>
      </c>
      <c r="M447" s="8">
        <v>2019</v>
      </c>
      <c r="N447" s="9">
        <v>0</v>
      </c>
      <c r="O447" s="13">
        <v>41815</v>
      </c>
      <c r="P447" s="13">
        <v>41815</v>
      </c>
    </row>
    <row r="448" spans="1:16">
      <c r="A448" s="10">
        <v>2014</v>
      </c>
      <c r="B448" s="11" t="s">
        <v>483</v>
      </c>
      <c r="C448" s="11" t="s">
        <v>484</v>
      </c>
      <c r="D448" s="12">
        <v>1015042</v>
      </c>
      <c r="E448" s="12">
        <v>2</v>
      </c>
      <c r="F448" s="12"/>
      <c r="G448" s="12">
        <v>660</v>
      </c>
      <c r="H448" s="12">
        <v>12</v>
      </c>
      <c r="I448" s="12"/>
      <c r="J448" s="12" t="s">
        <v>97</v>
      </c>
      <c r="K448" s="12" t="b">
        <v>1</v>
      </c>
      <c r="L448" s="12">
        <v>7</v>
      </c>
      <c r="M448" s="8">
        <v>2021</v>
      </c>
      <c r="N448" s="9">
        <v>0</v>
      </c>
      <c r="O448" s="13">
        <v>41815</v>
      </c>
      <c r="P448" s="13">
        <v>41815</v>
      </c>
    </row>
    <row r="449" spans="1:16">
      <c r="A449" s="10">
        <v>2014</v>
      </c>
      <c r="B449" s="11" t="s">
        <v>483</v>
      </c>
      <c r="C449" s="11" t="s">
        <v>484</v>
      </c>
      <c r="D449" s="12">
        <v>1015042</v>
      </c>
      <c r="E449" s="12">
        <v>2</v>
      </c>
      <c r="F449" s="12"/>
      <c r="G449" s="12">
        <v>660</v>
      </c>
      <c r="H449" s="12">
        <v>12</v>
      </c>
      <c r="I449" s="12"/>
      <c r="J449" s="12" t="s">
        <v>97</v>
      </c>
      <c r="K449" s="12" t="b">
        <v>1</v>
      </c>
      <c r="L449" s="12">
        <v>3</v>
      </c>
      <c r="M449" s="8">
        <v>2017</v>
      </c>
      <c r="N449" s="9">
        <v>0</v>
      </c>
      <c r="O449" s="13">
        <v>41815</v>
      </c>
      <c r="P449" s="13">
        <v>41815</v>
      </c>
    </row>
    <row r="450" spans="1:16">
      <c r="A450" s="10">
        <v>2014</v>
      </c>
      <c r="B450" s="11" t="s">
        <v>483</v>
      </c>
      <c r="C450" s="11" t="s">
        <v>484</v>
      </c>
      <c r="D450" s="12">
        <v>1015042</v>
      </c>
      <c r="E450" s="12">
        <v>2</v>
      </c>
      <c r="F450" s="12"/>
      <c r="G450" s="12">
        <v>660</v>
      </c>
      <c r="H450" s="12">
        <v>12</v>
      </c>
      <c r="I450" s="12"/>
      <c r="J450" s="12" t="s">
        <v>97</v>
      </c>
      <c r="K450" s="12" t="b">
        <v>1</v>
      </c>
      <c r="L450" s="12">
        <v>2</v>
      </c>
      <c r="M450" s="8">
        <v>2016</v>
      </c>
      <c r="N450" s="9">
        <v>0</v>
      </c>
      <c r="O450" s="13">
        <v>41815</v>
      </c>
      <c r="P450" s="13">
        <v>41815</v>
      </c>
    </row>
    <row r="451" spans="1:16">
      <c r="A451" s="10">
        <v>2014</v>
      </c>
      <c r="B451" s="11" t="s">
        <v>483</v>
      </c>
      <c r="C451" s="11" t="s">
        <v>484</v>
      </c>
      <c r="D451" s="12">
        <v>1015042</v>
      </c>
      <c r="E451" s="12">
        <v>2</v>
      </c>
      <c r="F451" s="12"/>
      <c r="G451" s="12">
        <v>660</v>
      </c>
      <c r="H451" s="12">
        <v>12</v>
      </c>
      <c r="I451" s="12"/>
      <c r="J451" s="12" t="s">
        <v>97</v>
      </c>
      <c r="K451" s="12" t="b">
        <v>1</v>
      </c>
      <c r="L451" s="12">
        <v>8</v>
      </c>
      <c r="M451" s="8">
        <v>2022</v>
      </c>
      <c r="N451" s="9">
        <v>0</v>
      </c>
      <c r="O451" s="13">
        <v>41815</v>
      </c>
      <c r="P451" s="13">
        <v>41815</v>
      </c>
    </row>
    <row r="452" spans="1:16">
      <c r="A452" s="10">
        <v>2014</v>
      </c>
      <c r="B452" s="11" t="s">
        <v>483</v>
      </c>
      <c r="C452" s="11" t="s">
        <v>484</v>
      </c>
      <c r="D452" s="12">
        <v>1015042</v>
      </c>
      <c r="E452" s="12">
        <v>2</v>
      </c>
      <c r="F452" s="12"/>
      <c r="G452" s="12">
        <v>660</v>
      </c>
      <c r="H452" s="12">
        <v>12</v>
      </c>
      <c r="I452" s="12"/>
      <c r="J452" s="12" t="s">
        <v>97</v>
      </c>
      <c r="K452" s="12" t="b">
        <v>1</v>
      </c>
      <c r="L452" s="12">
        <v>6</v>
      </c>
      <c r="M452" s="8">
        <v>2020</v>
      </c>
      <c r="N452" s="9">
        <v>0</v>
      </c>
      <c r="O452" s="13">
        <v>41815</v>
      </c>
      <c r="P452" s="13">
        <v>41815</v>
      </c>
    </row>
    <row r="453" spans="1:16">
      <c r="A453" s="10">
        <v>2014</v>
      </c>
      <c r="B453" s="11" t="s">
        <v>483</v>
      </c>
      <c r="C453" s="11" t="s">
        <v>484</v>
      </c>
      <c r="D453" s="12">
        <v>1015042</v>
      </c>
      <c r="E453" s="12">
        <v>2</v>
      </c>
      <c r="F453" s="12"/>
      <c r="G453" s="12">
        <v>660</v>
      </c>
      <c r="H453" s="12">
        <v>12</v>
      </c>
      <c r="I453" s="12"/>
      <c r="J453" s="12" t="s">
        <v>97</v>
      </c>
      <c r="K453" s="12" t="b">
        <v>1</v>
      </c>
      <c r="L453" s="12">
        <v>4</v>
      </c>
      <c r="M453" s="8">
        <v>2018</v>
      </c>
      <c r="N453" s="9">
        <v>0</v>
      </c>
      <c r="O453" s="13">
        <v>41815</v>
      </c>
      <c r="P453" s="13">
        <v>41815</v>
      </c>
    </row>
    <row r="454" spans="1:16">
      <c r="A454" s="10">
        <v>2014</v>
      </c>
      <c r="B454" s="11" t="s">
        <v>483</v>
      </c>
      <c r="C454" s="11" t="s">
        <v>484</v>
      </c>
      <c r="D454" s="12">
        <v>1015042</v>
      </c>
      <c r="E454" s="12">
        <v>2</v>
      </c>
      <c r="F454" s="12"/>
      <c r="G454" s="12">
        <v>980</v>
      </c>
      <c r="H454" s="12">
        <v>15.2</v>
      </c>
      <c r="I454" s="12"/>
      <c r="J454" s="12" t="s">
        <v>417</v>
      </c>
      <c r="K454" s="12" t="b">
        <v>1</v>
      </c>
      <c r="L454" s="12">
        <v>1</v>
      </c>
      <c r="M454" s="8">
        <v>2015</v>
      </c>
      <c r="N454" s="9">
        <v>0</v>
      </c>
      <c r="O454" s="13">
        <v>41815</v>
      </c>
      <c r="P454" s="13">
        <v>41815</v>
      </c>
    </row>
    <row r="455" spans="1:16">
      <c r="A455" s="10">
        <v>2014</v>
      </c>
      <c r="B455" s="11" t="s">
        <v>483</v>
      </c>
      <c r="C455" s="11" t="s">
        <v>484</v>
      </c>
      <c r="D455" s="12">
        <v>1015042</v>
      </c>
      <c r="E455" s="12">
        <v>2</v>
      </c>
      <c r="F455" s="12"/>
      <c r="G455" s="12">
        <v>980</v>
      </c>
      <c r="H455" s="12">
        <v>15.2</v>
      </c>
      <c r="I455" s="12"/>
      <c r="J455" s="12" t="s">
        <v>417</v>
      </c>
      <c r="K455" s="12" t="b">
        <v>1</v>
      </c>
      <c r="L455" s="12">
        <v>6</v>
      </c>
      <c r="M455" s="8">
        <v>2020</v>
      </c>
      <c r="N455" s="9">
        <v>0</v>
      </c>
      <c r="O455" s="13">
        <v>41815</v>
      </c>
      <c r="P455" s="13">
        <v>41815</v>
      </c>
    </row>
    <row r="456" spans="1:16">
      <c r="A456" s="10">
        <v>2014</v>
      </c>
      <c r="B456" s="11" t="s">
        <v>483</v>
      </c>
      <c r="C456" s="11" t="s">
        <v>484</v>
      </c>
      <c r="D456" s="12">
        <v>1015042</v>
      </c>
      <c r="E456" s="12">
        <v>2</v>
      </c>
      <c r="F456" s="12"/>
      <c r="G456" s="12">
        <v>980</v>
      </c>
      <c r="H456" s="12">
        <v>15.2</v>
      </c>
      <c r="I456" s="12"/>
      <c r="J456" s="12" t="s">
        <v>417</v>
      </c>
      <c r="K456" s="12" t="b">
        <v>1</v>
      </c>
      <c r="L456" s="12">
        <v>8</v>
      </c>
      <c r="M456" s="8">
        <v>2022</v>
      </c>
      <c r="N456" s="9">
        <v>0</v>
      </c>
      <c r="O456" s="13">
        <v>41815</v>
      </c>
      <c r="P456" s="13">
        <v>41815</v>
      </c>
    </row>
    <row r="457" spans="1:16">
      <c r="A457" s="10">
        <v>2014</v>
      </c>
      <c r="B457" s="11" t="s">
        <v>483</v>
      </c>
      <c r="C457" s="11" t="s">
        <v>484</v>
      </c>
      <c r="D457" s="12">
        <v>1015042</v>
      </c>
      <c r="E457" s="12">
        <v>2</v>
      </c>
      <c r="F457" s="12"/>
      <c r="G457" s="12">
        <v>980</v>
      </c>
      <c r="H457" s="12">
        <v>15.2</v>
      </c>
      <c r="I457" s="12"/>
      <c r="J457" s="12" t="s">
        <v>417</v>
      </c>
      <c r="K457" s="12" t="b">
        <v>1</v>
      </c>
      <c r="L457" s="12">
        <v>4</v>
      </c>
      <c r="M457" s="8">
        <v>2018</v>
      </c>
      <c r="N457" s="9">
        <v>0</v>
      </c>
      <c r="O457" s="13">
        <v>41815</v>
      </c>
      <c r="P457" s="13">
        <v>41815</v>
      </c>
    </row>
    <row r="458" spans="1:16">
      <c r="A458" s="10">
        <v>2014</v>
      </c>
      <c r="B458" s="11" t="s">
        <v>483</v>
      </c>
      <c r="C458" s="11" t="s">
        <v>484</v>
      </c>
      <c r="D458" s="12">
        <v>1015042</v>
      </c>
      <c r="E458" s="12">
        <v>2</v>
      </c>
      <c r="F458" s="12"/>
      <c r="G458" s="12">
        <v>980</v>
      </c>
      <c r="H458" s="12">
        <v>15.2</v>
      </c>
      <c r="I458" s="12"/>
      <c r="J458" s="12" t="s">
        <v>417</v>
      </c>
      <c r="K458" s="12" t="b">
        <v>1</v>
      </c>
      <c r="L458" s="12">
        <v>2</v>
      </c>
      <c r="M458" s="8">
        <v>2016</v>
      </c>
      <c r="N458" s="9">
        <v>0</v>
      </c>
      <c r="O458" s="13">
        <v>41815</v>
      </c>
      <c r="P458" s="13">
        <v>41815</v>
      </c>
    </row>
    <row r="459" spans="1:16">
      <c r="A459" s="10">
        <v>2014</v>
      </c>
      <c r="B459" s="11" t="s">
        <v>483</v>
      </c>
      <c r="C459" s="11" t="s">
        <v>484</v>
      </c>
      <c r="D459" s="12">
        <v>1015042</v>
      </c>
      <c r="E459" s="12">
        <v>2</v>
      </c>
      <c r="F459" s="12"/>
      <c r="G459" s="12">
        <v>980</v>
      </c>
      <c r="H459" s="12">
        <v>15.2</v>
      </c>
      <c r="I459" s="12"/>
      <c r="J459" s="12" t="s">
        <v>417</v>
      </c>
      <c r="K459" s="12" t="b">
        <v>1</v>
      </c>
      <c r="L459" s="12">
        <v>3</v>
      </c>
      <c r="M459" s="8">
        <v>2017</v>
      </c>
      <c r="N459" s="9">
        <v>0</v>
      </c>
      <c r="O459" s="13">
        <v>41815</v>
      </c>
      <c r="P459" s="13">
        <v>41815</v>
      </c>
    </row>
    <row r="460" spans="1:16">
      <c r="A460" s="10">
        <v>2014</v>
      </c>
      <c r="B460" s="11" t="s">
        <v>483</v>
      </c>
      <c r="C460" s="11" t="s">
        <v>484</v>
      </c>
      <c r="D460" s="12">
        <v>1015042</v>
      </c>
      <c r="E460" s="12">
        <v>2</v>
      </c>
      <c r="F460" s="12"/>
      <c r="G460" s="12">
        <v>980</v>
      </c>
      <c r="H460" s="12">
        <v>15.2</v>
      </c>
      <c r="I460" s="12"/>
      <c r="J460" s="12" t="s">
        <v>417</v>
      </c>
      <c r="K460" s="12" t="b">
        <v>1</v>
      </c>
      <c r="L460" s="12">
        <v>0</v>
      </c>
      <c r="M460" s="8">
        <v>2014</v>
      </c>
      <c r="N460" s="9">
        <v>0</v>
      </c>
      <c r="O460" s="13">
        <v>41815</v>
      </c>
      <c r="P460" s="13">
        <v>41815</v>
      </c>
    </row>
    <row r="461" spans="1:16">
      <c r="A461" s="10">
        <v>2014</v>
      </c>
      <c r="B461" s="11" t="s">
        <v>483</v>
      </c>
      <c r="C461" s="11" t="s">
        <v>484</v>
      </c>
      <c r="D461" s="12">
        <v>1015042</v>
      </c>
      <c r="E461" s="12">
        <v>2</v>
      </c>
      <c r="F461" s="12"/>
      <c r="G461" s="12">
        <v>980</v>
      </c>
      <c r="H461" s="12">
        <v>15.2</v>
      </c>
      <c r="I461" s="12"/>
      <c r="J461" s="12" t="s">
        <v>417</v>
      </c>
      <c r="K461" s="12" t="b">
        <v>1</v>
      </c>
      <c r="L461" s="12">
        <v>5</v>
      </c>
      <c r="M461" s="8">
        <v>2019</v>
      </c>
      <c r="N461" s="9">
        <v>0</v>
      </c>
      <c r="O461" s="13">
        <v>41815</v>
      </c>
      <c r="P461" s="13">
        <v>41815</v>
      </c>
    </row>
    <row r="462" spans="1:16">
      <c r="A462" s="10">
        <v>2014</v>
      </c>
      <c r="B462" s="11" t="s">
        <v>483</v>
      </c>
      <c r="C462" s="11" t="s">
        <v>484</v>
      </c>
      <c r="D462" s="12">
        <v>1015042</v>
      </c>
      <c r="E462" s="12">
        <v>2</v>
      </c>
      <c r="F462" s="12"/>
      <c r="G462" s="12">
        <v>980</v>
      </c>
      <c r="H462" s="12">
        <v>15.2</v>
      </c>
      <c r="I462" s="12"/>
      <c r="J462" s="12" t="s">
        <v>417</v>
      </c>
      <c r="K462" s="12" t="b">
        <v>1</v>
      </c>
      <c r="L462" s="12">
        <v>7</v>
      </c>
      <c r="M462" s="8">
        <v>2021</v>
      </c>
      <c r="N462" s="9">
        <v>0</v>
      </c>
      <c r="O462" s="13">
        <v>41815</v>
      </c>
      <c r="P462" s="13">
        <v>41815</v>
      </c>
    </row>
    <row r="463" spans="1:16">
      <c r="A463" s="10">
        <v>2014</v>
      </c>
      <c r="B463" s="11" t="s">
        <v>483</v>
      </c>
      <c r="C463" s="11" t="s">
        <v>484</v>
      </c>
      <c r="D463" s="12">
        <v>1015042</v>
      </c>
      <c r="E463" s="12">
        <v>2</v>
      </c>
      <c r="F463" s="12"/>
      <c r="G463" s="12">
        <v>910</v>
      </c>
      <c r="H463" s="12" t="s">
        <v>130</v>
      </c>
      <c r="I463" s="12"/>
      <c r="J463" s="12" t="s">
        <v>131</v>
      </c>
      <c r="K463" s="12" t="b">
        <v>1</v>
      </c>
      <c r="L463" s="12">
        <v>1</v>
      </c>
      <c r="M463" s="8">
        <v>2015</v>
      </c>
      <c r="N463" s="9">
        <v>0</v>
      </c>
      <c r="O463" s="13">
        <v>41815</v>
      </c>
      <c r="P463" s="13">
        <v>41815</v>
      </c>
    </row>
    <row r="464" spans="1:16">
      <c r="A464" s="10">
        <v>2014</v>
      </c>
      <c r="B464" s="11" t="s">
        <v>483</v>
      </c>
      <c r="C464" s="11" t="s">
        <v>484</v>
      </c>
      <c r="D464" s="12">
        <v>1015042</v>
      </c>
      <c r="E464" s="12">
        <v>2</v>
      </c>
      <c r="F464" s="12"/>
      <c r="G464" s="12">
        <v>910</v>
      </c>
      <c r="H464" s="12" t="s">
        <v>130</v>
      </c>
      <c r="I464" s="12"/>
      <c r="J464" s="12" t="s">
        <v>131</v>
      </c>
      <c r="K464" s="12" t="b">
        <v>1</v>
      </c>
      <c r="L464" s="12">
        <v>3</v>
      </c>
      <c r="M464" s="8">
        <v>2017</v>
      </c>
      <c r="N464" s="9">
        <v>0</v>
      </c>
      <c r="O464" s="13">
        <v>41815</v>
      </c>
      <c r="P464" s="13">
        <v>41815</v>
      </c>
    </row>
    <row r="465" spans="1:16">
      <c r="A465" s="10">
        <v>2014</v>
      </c>
      <c r="B465" s="11" t="s">
        <v>483</v>
      </c>
      <c r="C465" s="11" t="s">
        <v>484</v>
      </c>
      <c r="D465" s="12">
        <v>1015042</v>
      </c>
      <c r="E465" s="12">
        <v>2</v>
      </c>
      <c r="F465" s="12"/>
      <c r="G465" s="12">
        <v>910</v>
      </c>
      <c r="H465" s="12" t="s">
        <v>130</v>
      </c>
      <c r="I465" s="12"/>
      <c r="J465" s="12" t="s">
        <v>131</v>
      </c>
      <c r="K465" s="12" t="b">
        <v>1</v>
      </c>
      <c r="L465" s="12">
        <v>2</v>
      </c>
      <c r="M465" s="8">
        <v>2016</v>
      </c>
      <c r="N465" s="9">
        <v>0</v>
      </c>
      <c r="O465" s="13">
        <v>41815</v>
      </c>
      <c r="P465" s="13">
        <v>41815</v>
      </c>
    </row>
    <row r="466" spans="1:16">
      <c r="A466" s="10">
        <v>2014</v>
      </c>
      <c r="B466" s="11" t="s">
        <v>483</v>
      </c>
      <c r="C466" s="11" t="s">
        <v>484</v>
      </c>
      <c r="D466" s="12">
        <v>1015042</v>
      </c>
      <c r="E466" s="12">
        <v>2</v>
      </c>
      <c r="F466" s="12"/>
      <c r="G466" s="12">
        <v>910</v>
      </c>
      <c r="H466" s="12" t="s">
        <v>130</v>
      </c>
      <c r="I466" s="12"/>
      <c r="J466" s="12" t="s">
        <v>131</v>
      </c>
      <c r="K466" s="12" t="b">
        <v>1</v>
      </c>
      <c r="L466" s="12">
        <v>4</v>
      </c>
      <c r="M466" s="8">
        <v>2018</v>
      </c>
      <c r="N466" s="9">
        <v>0</v>
      </c>
      <c r="O466" s="13">
        <v>41815</v>
      </c>
      <c r="P466" s="13">
        <v>41815</v>
      </c>
    </row>
    <row r="467" spans="1:16">
      <c r="A467" s="10">
        <v>2014</v>
      </c>
      <c r="B467" s="11" t="s">
        <v>483</v>
      </c>
      <c r="C467" s="11" t="s">
        <v>484</v>
      </c>
      <c r="D467" s="12">
        <v>1015042</v>
      </c>
      <c r="E467" s="12">
        <v>2</v>
      </c>
      <c r="F467" s="12"/>
      <c r="G467" s="12">
        <v>910</v>
      </c>
      <c r="H467" s="12" t="s">
        <v>130</v>
      </c>
      <c r="I467" s="12"/>
      <c r="J467" s="12" t="s">
        <v>131</v>
      </c>
      <c r="K467" s="12" t="b">
        <v>1</v>
      </c>
      <c r="L467" s="12">
        <v>6</v>
      </c>
      <c r="M467" s="8">
        <v>2020</v>
      </c>
      <c r="N467" s="9">
        <v>0</v>
      </c>
      <c r="O467" s="13">
        <v>41815</v>
      </c>
      <c r="P467" s="13">
        <v>41815</v>
      </c>
    </row>
    <row r="468" spans="1:16">
      <c r="A468" s="10">
        <v>2014</v>
      </c>
      <c r="B468" s="11" t="s">
        <v>483</v>
      </c>
      <c r="C468" s="11" t="s">
        <v>484</v>
      </c>
      <c r="D468" s="12">
        <v>1015042</v>
      </c>
      <c r="E468" s="12">
        <v>2</v>
      </c>
      <c r="F468" s="12"/>
      <c r="G468" s="12">
        <v>910</v>
      </c>
      <c r="H468" s="12" t="s">
        <v>130</v>
      </c>
      <c r="I468" s="12"/>
      <c r="J468" s="12" t="s">
        <v>131</v>
      </c>
      <c r="K468" s="12" t="b">
        <v>1</v>
      </c>
      <c r="L468" s="12">
        <v>7</v>
      </c>
      <c r="M468" s="8">
        <v>2021</v>
      </c>
      <c r="N468" s="9">
        <v>0</v>
      </c>
      <c r="O468" s="13">
        <v>41815</v>
      </c>
      <c r="P468" s="13">
        <v>41815</v>
      </c>
    </row>
    <row r="469" spans="1:16">
      <c r="A469" s="10">
        <v>2014</v>
      </c>
      <c r="B469" s="11" t="s">
        <v>483</v>
      </c>
      <c r="C469" s="11" t="s">
        <v>484</v>
      </c>
      <c r="D469" s="12">
        <v>1015042</v>
      </c>
      <c r="E469" s="12">
        <v>2</v>
      </c>
      <c r="F469" s="12"/>
      <c r="G469" s="12">
        <v>910</v>
      </c>
      <c r="H469" s="12" t="s">
        <v>130</v>
      </c>
      <c r="I469" s="12"/>
      <c r="J469" s="12" t="s">
        <v>131</v>
      </c>
      <c r="K469" s="12" t="b">
        <v>1</v>
      </c>
      <c r="L469" s="12">
        <v>0</v>
      </c>
      <c r="M469" s="8">
        <v>2014</v>
      </c>
      <c r="N469" s="9">
        <v>0</v>
      </c>
      <c r="O469" s="13">
        <v>41815</v>
      </c>
      <c r="P469" s="13">
        <v>41815</v>
      </c>
    </row>
    <row r="470" spans="1:16">
      <c r="A470" s="10">
        <v>2014</v>
      </c>
      <c r="B470" s="11" t="s">
        <v>483</v>
      </c>
      <c r="C470" s="11" t="s">
        <v>484</v>
      </c>
      <c r="D470" s="12">
        <v>1015042</v>
      </c>
      <c r="E470" s="12">
        <v>2</v>
      </c>
      <c r="F470" s="12"/>
      <c r="G470" s="12">
        <v>910</v>
      </c>
      <c r="H470" s="12" t="s">
        <v>130</v>
      </c>
      <c r="I470" s="12"/>
      <c r="J470" s="12" t="s">
        <v>131</v>
      </c>
      <c r="K470" s="12" t="b">
        <v>1</v>
      </c>
      <c r="L470" s="12">
        <v>5</v>
      </c>
      <c r="M470" s="8">
        <v>2019</v>
      </c>
      <c r="N470" s="9">
        <v>0</v>
      </c>
      <c r="O470" s="13">
        <v>41815</v>
      </c>
      <c r="P470" s="13">
        <v>41815</v>
      </c>
    </row>
    <row r="471" spans="1:16">
      <c r="A471" s="10">
        <v>2014</v>
      </c>
      <c r="B471" s="11" t="s">
        <v>483</v>
      </c>
      <c r="C471" s="11" t="s">
        <v>484</v>
      </c>
      <c r="D471" s="12">
        <v>1015042</v>
      </c>
      <c r="E471" s="12">
        <v>2</v>
      </c>
      <c r="F471" s="12"/>
      <c r="G471" s="12">
        <v>910</v>
      </c>
      <c r="H471" s="12" t="s">
        <v>130</v>
      </c>
      <c r="I471" s="12"/>
      <c r="J471" s="12" t="s">
        <v>131</v>
      </c>
      <c r="K471" s="12" t="b">
        <v>1</v>
      </c>
      <c r="L471" s="12">
        <v>8</v>
      </c>
      <c r="M471" s="8">
        <v>2022</v>
      </c>
      <c r="N471" s="9">
        <v>0</v>
      </c>
      <c r="O471" s="13">
        <v>41815</v>
      </c>
      <c r="P471" s="13">
        <v>41815</v>
      </c>
    </row>
    <row r="472" spans="1:16">
      <c r="A472" s="10">
        <v>2014</v>
      </c>
      <c r="B472" s="11" t="s">
        <v>483</v>
      </c>
      <c r="C472" s="11" t="s">
        <v>484</v>
      </c>
      <c r="D472" s="12">
        <v>1015042</v>
      </c>
      <c r="E472" s="12">
        <v>2</v>
      </c>
      <c r="F472" s="12"/>
      <c r="G472" s="12">
        <v>240</v>
      </c>
      <c r="H472" s="12">
        <v>4.2</v>
      </c>
      <c r="I472" s="12"/>
      <c r="J472" s="12" t="s">
        <v>69</v>
      </c>
      <c r="K472" s="12" t="b">
        <v>0</v>
      </c>
      <c r="L472" s="12">
        <v>1</v>
      </c>
      <c r="M472" s="8">
        <v>2015</v>
      </c>
      <c r="N472" s="9">
        <v>0</v>
      </c>
      <c r="O472" s="13">
        <v>41815</v>
      </c>
      <c r="P472" s="13">
        <v>41815</v>
      </c>
    </row>
    <row r="473" spans="1:16">
      <c r="A473" s="10">
        <v>2014</v>
      </c>
      <c r="B473" s="11" t="s">
        <v>483</v>
      </c>
      <c r="C473" s="11" t="s">
        <v>484</v>
      </c>
      <c r="D473" s="12">
        <v>1015042</v>
      </c>
      <c r="E473" s="12">
        <v>2</v>
      </c>
      <c r="F473" s="12"/>
      <c r="G473" s="12">
        <v>240</v>
      </c>
      <c r="H473" s="12">
        <v>4.2</v>
      </c>
      <c r="I473" s="12"/>
      <c r="J473" s="12" t="s">
        <v>69</v>
      </c>
      <c r="K473" s="12" t="b">
        <v>0</v>
      </c>
      <c r="L473" s="12">
        <v>0</v>
      </c>
      <c r="M473" s="8">
        <v>2014</v>
      </c>
      <c r="N473" s="9">
        <v>260000</v>
      </c>
      <c r="O473" s="13">
        <v>41815</v>
      </c>
      <c r="P473" s="13">
        <v>41815</v>
      </c>
    </row>
    <row r="474" spans="1:16">
      <c r="A474" s="10">
        <v>2014</v>
      </c>
      <c r="B474" s="11" t="s">
        <v>483</v>
      </c>
      <c r="C474" s="11" t="s">
        <v>484</v>
      </c>
      <c r="D474" s="12">
        <v>1015042</v>
      </c>
      <c r="E474" s="12">
        <v>2</v>
      </c>
      <c r="F474" s="12"/>
      <c r="G474" s="12">
        <v>240</v>
      </c>
      <c r="H474" s="12">
        <v>4.2</v>
      </c>
      <c r="I474" s="12"/>
      <c r="J474" s="12" t="s">
        <v>69</v>
      </c>
      <c r="K474" s="12" t="b">
        <v>0</v>
      </c>
      <c r="L474" s="12">
        <v>7</v>
      </c>
      <c r="M474" s="8">
        <v>2021</v>
      </c>
      <c r="N474" s="9">
        <v>0</v>
      </c>
      <c r="O474" s="13">
        <v>41815</v>
      </c>
      <c r="P474" s="13">
        <v>41815</v>
      </c>
    </row>
    <row r="475" spans="1:16">
      <c r="A475" s="10">
        <v>2014</v>
      </c>
      <c r="B475" s="11" t="s">
        <v>483</v>
      </c>
      <c r="C475" s="11" t="s">
        <v>484</v>
      </c>
      <c r="D475" s="12">
        <v>1015042</v>
      </c>
      <c r="E475" s="12">
        <v>2</v>
      </c>
      <c r="F475" s="12"/>
      <c r="G475" s="12">
        <v>240</v>
      </c>
      <c r="H475" s="12">
        <v>4.2</v>
      </c>
      <c r="I475" s="12"/>
      <c r="J475" s="12" t="s">
        <v>69</v>
      </c>
      <c r="K475" s="12" t="b">
        <v>0</v>
      </c>
      <c r="L475" s="12">
        <v>8</v>
      </c>
      <c r="M475" s="8">
        <v>2022</v>
      </c>
      <c r="N475" s="9">
        <v>0</v>
      </c>
      <c r="O475" s="13">
        <v>41815</v>
      </c>
      <c r="P475" s="13">
        <v>41815</v>
      </c>
    </row>
    <row r="476" spans="1:16">
      <c r="A476" s="10">
        <v>2014</v>
      </c>
      <c r="B476" s="11" t="s">
        <v>483</v>
      </c>
      <c r="C476" s="11" t="s">
        <v>484</v>
      </c>
      <c r="D476" s="12">
        <v>1015042</v>
      </c>
      <c r="E476" s="12">
        <v>2</v>
      </c>
      <c r="F476" s="12"/>
      <c r="G476" s="12">
        <v>240</v>
      </c>
      <c r="H476" s="12">
        <v>4.2</v>
      </c>
      <c r="I476" s="12"/>
      <c r="J476" s="12" t="s">
        <v>69</v>
      </c>
      <c r="K476" s="12" t="b">
        <v>0</v>
      </c>
      <c r="L476" s="12">
        <v>6</v>
      </c>
      <c r="M476" s="8">
        <v>2020</v>
      </c>
      <c r="N476" s="9">
        <v>0</v>
      </c>
      <c r="O476" s="13">
        <v>41815</v>
      </c>
      <c r="P476" s="13">
        <v>41815</v>
      </c>
    </row>
    <row r="477" spans="1:16">
      <c r="A477" s="10">
        <v>2014</v>
      </c>
      <c r="B477" s="11" t="s">
        <v>483</v>
      </c>
      <c r="C477" s="11" t="s">
        <v>484</v>
      </c>
      <c r="D477" s="12">
        <v>1015042</v>
      </c>
      <c r="E477" s="12">
        <v>2</v>
      </c>
      <c r="F477" s="12"/>
      <c r="G477" s="12">
        <v>240</v>
      </c>
      <c r="H477" s="12">
        <v>4.2</v>
      </c>
      <c r="I477" s="12"/>
      <c r="J477" s="12" t="s">
        <v>69</v>
      </c>
      <c r="K477" s="12" t="b">
        <v>0</v>
      </c>
      <c r="L477" s="12">
        <v>5</v>
      </c>
      <c r="M477" s="8">
        <v>2019</v>
      </c>
      <c r="N477" s="9">
        <v>0</v>
      </c>
      <c r="O477" s="13">
        <v>41815</v>
      </c>
      <c r="P477" s="13">
        <v>41815</v>
      </c>
    </row>
    <row r="478" spans="1:16">
      <c r="A478" s="10">
        <v>2014</v>
      </c>
      <c r="B478" s="11" t="s">
        <v>483</v>
      </c>
      <c r="C478" s="11" t="s">
        <v>484</v>
      </c>
      <c r="D478" s="12">
        <v>1015042</v>
      </c>
      <c r="E478" s="12">
        <v>2</v>
      </c>
      <c r="F478" s="12"/>
      <c r="G478" s="12">
        <v>240</v>
      </c>
      <c r="H478" s="12">
        <v>4.2</v>
      </c>
      <c r="I478" s="12"/>
      <c r="J478" s="12" t="s">
        <v>69</v>
      </c>
      <c r="K478" s="12" t="b">
        <v>0</v>
      </c>
      <c r="L478" s="12">
        <v>2</v>
      </c>
      <c r="M478" s="8">
        <v>2016</v>
      </c>
      <c r="N478" s="9">
        <v>0</v>
      </c>
      <c r="O478" s="13">
        <v>41815</v>
      </c>
      <c r="P478" s="13">
        <v>41815</v>
      </c>
    </row>
    <row r="479" spans="1:16">
      <c r="A479" s="10">
        <v>2014</v>
      </c>
      <c r="B479" s="11" t="s">
        <v>483</v>
      </c>
      <c r="C479" s="11" t="s">
        <v>484</v>
      </c>
      <c r="D479" s="12">
        <v>1015042</v>
      </c>
      <c r="E479" s="12">
        <v>2</v>
      </c>
      <c r="F479" s="12"/>
      <c r="G479" s="12">
        <v>240</v>
      </c>
      <c r="H479" s="12">
        <v>4.2</v>
      </c>
      <c r="I479" s="12"/>
      <c r="J479" s="12" t="s">
        <v>69</v>
      </c>
      <c r="K479" s="12" t="b">
        <v>0</v>
      </c>
      <c r="L479" s="12">
        <v>3</v>
      </c>
      <c r="M479" s="8">
        <v>2017</v>
      </c>
      <c r="N479" s="9">
        <v>0</v>
      </c>
      <c r="O479" s="13">
        <v>41815</v>
      </c>
      <c r="P479" s="13">
        <v>41815</v>
      </c>
    </row>
    <row r="480" spans="1:16">
      <c r="A480" s="10">
        <v>2014</v>
      </c>
      <c r="B480" s="11" t="s">
        <v>483</v>
      </c>
      <c r="C480" s="11" t="s">
        <v>484</v>
      </c>
      <c r="D480" s="12">
        <v>1015042</v>
      </c>
      <c r="E480" s="12">
        <v>2</v>
      </c>
      <c r="F480" s="12"/>
      <c r="G480" s="12">
        <v>240</v>
      </c>
      <c r="H480" s="12">
        <v>4.2</v>
      </c>
      <c r="I480" s="12"/>
      <c r="J480" s="12" t="s">
        <v>69</v>
      </c>
      <c r="K480" s="12" t="b">
        <v>0</v>
      </c>
      <c r="L480" s="12">
        <v>4</v>
      </c>
      <c r="M480" s="8">
        <v>2018</v>
      </c>
      <c r="N480" s="9">
        <v>0</v>
      </c>
      <c r="O480" s="13">
        <v>41815</v>
      </c>
      <c r="P480" s="13">
        <v>41815</v>
      </c>
    </row>
    <row r="481" spans="1:16">
      <c r="A481" s="10">
        <v>2014</v>
      </c>
      <c r="B481" s="11" t="s">
        <v>483</v>
      </c>
      <c r="C481" s="11" t="s">
        <v>484</v>
      </c>
      <c r="D481" s="12">
        <v>1015042</v>
      </c>
      <c r="E481" s="12">
        <v>2</v>
      </c>
      <c r="F481" s="12"/>
      <c r="G481" s="12">
        <v>160</v>
      </c>
      <c r="H481" s="12" t="s">
        <v>62</v>
      </c>
      <c r="I481" s="12"/>
      <c r="J481" s="12" t="s">
        <v>359</v>
      </c>
      <c r="K481" s="12" t="b">
        <v>1</v>
      </c>
      <c r="L481" s="12">
        <v>4</v>
      </c>
      <c r="M481" s="8">
        <v>2018</v>
      </c>
      <c r="N481" s="9">
        <v>0</v>
      </c>
      <c r="O481" s="13">
        <v>41815</v>
      </c>
      <c r="P481" s="13">
        <v>41815</v>
      </c>
    </row>
    <row r="482" spans="1:16">
      <c r="A482" s="10">
        <v>2014</v>
      </c>
      <c r="B482" s="11" t="s">
        <v>483</v>
      </c>
      <c r="C482" s="11" t="s">
        <v>484</v>
      </c>
      <c r="D482" s="12">
        <v>1015042</v>
      </c>
      <c r="E482" s="12">
        <v>2</v>
      </c>
      <c r="F482" s="12"/>
      <c r="G482" s="12">
        <v>160</v>
      </c>
      <c r="H482" s="12" t="s">
        <v>62</v>
      </c>
      <c r="I482" s="12"/>
      <c r="J482" s="12" t="s">
        <v>359</v>
      </c>
      <c r="K482" s="12" t="b">
        <v>1</v>
      </c>
      <c r="L482" s="12">
        <v>5</v>
      </c>
      <c r="M482" s="8">
        <v>2019</v>
      </c>
      <c r="N482" s="9">
        <v>0</v>
      </c>
      <c r="O482" s="13">
        <v>41815</v>
      </c>
      <c r="P482" s="13">
        <v>41815</v>
      </c>
    </row>
    <row r="483" spans="1:16">
      <c r="A483" s="10">
        <v>2014</v>
      </c>
      <c r="B483" s="11" t="s">
        <v>483</v>
      </c>
      <c r="C483" s="11" t="s">
        <v>484</v>
      </c>
      <c r="D483" s="12">
        <v>1015042</v>
      </c>
      <c r="E483" s="12">
        <v>2</v>
      </c>
      <c r="F483" s="12"/>
      <c r="G483" s="12">
        <v>160</v>
      </c>
      <c r="H483" s="12" t="s">
        <v>62</v>
      </c>
      <c r="I483" s="12"/>
      <c r="J483" s="12" t="s">
        <v>359</v>
      </c>
      <c r="K483" s="12" t="b">
        <v>1</v>
      </c>
      <c r="L483" s="12">
        <v>2</v>
      </c>
      <c r="M483" s="8">
        <v>2016</v>
      </c>
      <c r="N483" s="9">
        <v>0</v>
      </c>
      <c r="O483" s="13">
        <v>41815</v>
      </c>
      <c r="P483" s="13">
        <v>41815</v>
      </c>
    </row>
    <row r="484" spans="1:16">
      <c r="A484" s="10">
        <v>2014</v>
      </c>
      <c r="B484" s="11" t="s">
        <v>483</v>
      </c>
      <c r="C484" s="11" t="s">
        <v>484</v>
      </c>
      <c r="D484" s="12">
        <v>1015042</v>
      </c>
      <c r="E484" s="12">
        <v>2</v>
      </c>
      <c r="F484" s="12"/>
      <c r="G484" s="12">
        <v>160</v>
      </c>
      <c r="H484" s="12" t="s">
        <v>62</v>
      </c>
      <c r="I484" s="12"/>
      <c r="J484" s="12" t="s">
        <v>359</v>
      </c>
      <c r="K484" s="12" t="b">
        <v>1</v>
      </c>
      <c r="L484" s="12">
        <v>7</v>
      </c>
      <c r="M484" s="8">
        <v>2021</v>
      </c>
      <c r="N484" s="9">
        <v>0</v>
      </c>
      <c r="O484" s="13">
        <v>41815</v>
      </c>
      <c r="P484" s="13">
        <v>41815</v>
      </c>
    </row>
    <row r="485" spans="1:16">
      <c r="A485" s="10">
        <v>2014</v>
      </c>
      <c r="B485" s="11" t="s">
        <v>483</v>
      </c>
      <c r="C485" s="11" t="s">
        <v>484</v>
      </c>
      <c r="D485" s="12">
        <v>1015042</v>
      </c>
      <c r="E485" s="12">
        <v>2</v>
      </c>
      <c r="F485" s="12"/>
      <c r="G485" s="12">
        <v>160</v>
      </c>
      <c r="H485" s="12" t="s">
        <v>62</v>
      </c>
      <c r="I485" s="12"/>
      <c r="J485" s="12" t="s">
        <v>359</v>
      </c>
      <c r="K485" s="12" t="b">
        <v>1</v>
      </c>
      <c r="L485" s="12">
        <v>1</v>
      </c>
      <c r="M485" s="8">
        <v>2015</v>
      </c>
      <c r="N485" s="9">
        <v>0</v>
      </c>
      <c r="O485" s="13">
        <v>41815</v>
      </c>
      <c r="P485" s="13">
        <v>41815</v>
      </c>
    </row>
    <row r="486" spans="1:16">
      <c r="A486" s="10">
        <v>2014</v>
      </c>
      <c r="B486" s="11" t="s">
        <v>483</v>
      </c>
      <c r="C486" s="11" t="s">
        <v>484</v>
      </c>
      <c r="D486" s="12">
        <v>1015042</v>
      </c>
      <c r="E486" s="12">
        <v>2</v>
      </c>
      <c r="F486" s="12"/>
      <c r="G486" s="12">
        <v>160</v>
      </c>
      <c r="H486" s="12" t="s">
        <v>62</v>
      </c>
      <c r="I486" s="12"/>
      <c r="J486" s="12" t="s">
        <v>359</v>
      </c>
      <c r="K486" s="12" t="b">
        <v>1</v>
      </c>
      <c r="L486" s="12">
        <v>8</v>
      </c>
      <c r="M486" s="8">
        <v>2022</v>
      </c>
      <c r="N486" s="9">
        <v>0</v>
      </c>
      <c r="O486" s="13">
        <v>41815</v>
      </c>
      <c r="P486" s="13">
        <v>41815</v>
      </c>
    </row>
    <row r="487" spans="1:16">
      <c r="A487" s="10">
        <v>2014</v>
      </c>
      <c r="B487" s="11" t="s">
        <v>483</v>
      </c>
      <c r="C487" s="11" t="s">
        <v>484</v>
      </c>
      <c r="D487" s="12">
        <v>1015042</v>
      </c>
      <c r="E487" s="12">
        <v>2</v>
      </c>
      <c r="F487" s="12"/>
      <c r="G487" s="12">
        <v>160</v>
      </c>
      <c r="H487" s="12" t="s">
        <v>62</v>
      </c>
      <c r="I487" s="12"/>
      <c r="J487" s="12" t="s">
        <v>359</v>
      </c>
      <c r="K487" s="12" t="b">
        <v>1</v>
      </c>
      <c r="L487" s="12">
        <v>3</v>
      </c>
      <c r="M487" s="8">
        <v>2017</v>
      </c>
      <c r="N487" s="9">
        <v>0</v>
      </c>
      <c r="O487" s="13">
        <v>41815</v>
      </c>
      <c r="P487" s="13">
        <v>41815</v>
      </c>
    </row>
    <row r="488" spans="1:16">
      <c r="A488" s="10">
        <v>2014</v>
      </c>
      <c r="B488" s="11" t="s">
        <v>483</v>
      </c>
      <c r="C488" s="11" t="s">
        <v>484</v>
      </c>
      <c r="D488" s="12">
        <v>1015042</v>
      </c>
      <c r="E488" s="12">
        <v>2</v>
      </c>
      <c r="F488" s="12"/>
      <c r="G488" s="12">
        <v>160</v>
      </c>
      <c r="H488" s="12" t="s">
        <v>62</v>
      </c>
      <c r="I488" s="12"/>
      <c r="J488" s="12" t="s">
        <v>359</v>
      </c>
      <c r="K488" s="12" t="b">
        <v>1</v>
      </c>
      <c r="L488" s="12">
        <v>0</v>
      </c>
      <c r="M488" s="8">
        <v>2014</v>
      </c>
      <c r="N488" s="9">
        <v>0</v>
      </c>
      <c r="O488" s="13">
        <v>41815</v>
      </c>
      <c r="P488" s="13">
        <v>41815</v>
      </c>
    </row>
    <row r="489" spans="1:16">
      <c r="A489" s="10">
        <v>2014</v>
      </c>
      <c r="B489" s="11" t="s">
        <v>483</v>
      </c>
      <c r="C489" s="11" t="s">
        <v>484</v>
      </c>
      <c r="D489" s="12">
        <v>1015042</v>
      </c>
      <c r="E489" s="12">
        <v>2</v>
      </c>
      <c r="F489" s="12"/>
      <c r="G489" s="12">
        <v>160</v>
      </c>
      <c r="H489" s="12" t="s">
        <v>62</v>
      </c>
      <c r="I489" s="12"/>
      <c r="J489" s="12" t="s">
        <v>359</v>
      </c>
      <c r="K489" s="12" t="b">
        <v>1</v>
      </c>
      <c r="L489" s="12">
        <v>6</v>
      </c>
      <c r="M489" s="8">
        <v>2020</v>
      </c>
      <c r="N489" s="9">
        <v>0</v>
      </c>
      <c r="O489" s="13">
        <v>41815</v>
      </c>
      <c r="P489" s="13">
        <v>41815</v>
      </c>
    </row>
    <row r="490" spans="1:16">
      <c r="A490" s="10">
        <v>2014</v>
      </c>
      <c r="B490" s="11" t="s">
        <v>483</v>
      </c>
      <c r="C490" s="11" t="s">
        <v>484</v>
      </c>
      <c r="D490" s="12">
        <v>1015042</v>
      </c>
      <c r="E490" s="12">
        <v>2</v>
      </c>
      <c r="F490" s="12"/>
      <c r="G490" s="12">
        <v>400</v>
      </c>
      <c r="H490" s="12">
        <v>7</v>
      </c>
      <c r="I490" s="12"/>
      <c r="J490" s="12" t="s">
        <v>81</v>
      </c>
      <c r="K490" s="12" t="b">
        <v>1</v>
      </c>
      <c r="L490" s="12">
        <v>0</v>
      </c>
      <c r="M490" s="8">
        <v>2014</v>
      </c>
      <c r="N490" s="9">
        <v>0</v>
      </c>
      <c r="O490" s="13">
        <v>41815</v>
      </c>
      <c r="P490" s="13">
        <v>41815</v>
      </c>
    </row>
    <row r="491" spans="1:16">
      <c r="A491" s="10">
        <v>2014</v>
      </c>
      <c r="B491" s="11" t="s">
        <v>483</v>
      </c>
      <c r="C491" s="11" t="s">
        <v>484</v>
      </c>
      <c r="D491" s="12">
        <v>1015042</v>
      </c>
      <c r="E491" s="12">
        <v>2</v>
      </c>
      <c r="F491" s="12"/>
      <c r="G491" s="12">
        <v>400</v>
      </c>
      <c r="H491" s="12">
        <v>7</v>
      </c>
      <c r="I491" s="12"/>
      <c r="J491" s="12" t="s">
        <v>81</v>
      </c>
      <c r="K491" s="12" t="b">
        <v>1</v>
      </c>
      <c r="L491" s="12">
        <v>6</v>
      </c>
      <c r="M491" s="8">
        <v>2020</v>
      </c>
      <c r="N491" s="9">
        <v>0</v>
      </c>
      <c r="O491" s="13">
        <v>41815</v>
      </c>
      <c r="P491" s="13">
        <v>41815</v>
      </c>
    </row>
    <row r="492" spans="1:16">
      <c r="A492" s="10">
        <v>2014</v>
      </c>
      <c r="B492" s="11" t="s">
        <v>483</v>
      </c>
      <c r="C492" s="11" t="s">
        <v>484</v>
      </c>
      <c r="D492" s="12">
        <v>1015042</v>
      </c>
      <c r="E492" s="12">
        <v>2</v>
      </c>
      <c r="F492" s="12"/>
      <c r="G492" s="12">
        <v>400</v>
      </c>
      <c r="H492" s="12">
        <v>7</v>
      </c>
      <c r="I492" s="12"/>
      <c r="J492" s="12" t="s">
        <v>81</v>
      </c>
      <c r="K492" s="12" t="b">
        <v>1</v>
      </c>
      <c r="L492" s="12">
        <v>2</v>
      </c>
      <c r="M492" s="8">
        <v>2016</v>
      </c>
      <c r="N492" s="9">
        <v>0</v>
      </c>
      <c r="O492" s="13">
        <v>41815</v>
      </c>
      <c r="P492" s="13">
        <v>41815</v>
      </c>
    </row>
    <row r="493" spans="1:16">
      <c r="A493" s="10">
        <v>2014</v>
      </c>
      <c r="B493" s="11" t="s">
        <v>483</v>
      </c>
      <c r="C493" s="11" t="s">
        <v>484</v>
      </c>
      <c r="D493" s="12">
        <v>1015042</v>
      </c>
      <c r="E493" s="12">
        <v>2</v>
      </c>
      <c r="F493" s="12"/>
      <c r="G493" s="12">
        <v>400</v>
      </c>
      <c r="H493" s="12">
        <v>7</v>
      </c>
      <c r="I493" s="12"/>
      <c r="J493" s="12" t="s">
        <v>81</v>
      </c>
      <c r="K493" s="12" t="b">
        <v>1</v>
      </c>
      <c r="L493" s="12">
        <v>8</v>
      </c>
      <c r="M493" s="8">
        <v>2022</v>
      </c>
      <c r="N493" s="9">
        <v>0</v>
      </c>
      <c r="O493" s="13">
        <v>41815</v>
      </c>
      <c r="P493" s="13">
        <v>41815</v>
      </c>
    </row>
    <row r="494" spans="1:16">
      <c r="A494" s="10">
        <v>2014</v>
      </c>
      <c r="B494" s="11" t="s">
        <v>483</v>
      </c>
      <c r="C494" s="11" t="s">
        <v>484</v>
      </c>
      <c r="D494" s="12">
        <v>1015042</v>
      </c>
      <c r="E494" s="12">
        <v>2</v>
      </c>
      <c r="F494" s="12"/>
      <c r="G494" s="12">
        <v>400</v>
      </c>
      <c r="H494" s="12">
        <v>7</v>
      </c>
      <c r="I494" s="12"/>
      <c r="J494" s="12" t="s">
        <v>81</v>
      </c>
      <c r="K494" s="12" t="b">
        <v>1</v>
      </c>
      <c r="L494" s="12">
        <v>7</v>
      </c>
      <c r="M494" s="8">
        <v>2021</v>
      </c>
      <c r="N494" s="9">
        <v>0</v>
      </c>
      <c r="O494" s="13">
        <v>41815</v>
      </c>
      <c r="P494" s="13">
        <v>41815</v>
      </c>
    </row>
    <row r="495" spans="1:16">
      <c r="A495" s="10">
        <v>2014</v>
      </c>
      <c r="B495" s="11" t="s">
        <v>483</v>
      </c>
      <c r="C495" s="11" t="s">
        <v>484</v>
      </c>
      <c r="D495" s="12">
        <v>1015042</v>
      </c>
      <c r="E495" s="12">
        <v>2</v>
      </c>
      <c r="F495" s="12"/>
      <c r="G495" s="12">
        <v>400</v>
      </c>
      <c r="H495" s="12">
        <v>7</v>
      </c>
      <c r="I495" s="12"/>
      <c r="J495" s="12" t="s">
        <v>81</v>
      </c>
      <c r="K495" s="12" t="b">
        <v>1</v>
      </c>
      <c r="L495" s="12">
        <v>3</v>
      </c>
      <c r="M495" s="8">
        <v>2017</v>
      </c>
      <c r="N495" s="9">
        <v>0</v>
      </c>
      <c r="O495" s="13">
        <v>41815</v>
      </c>
      <c r="P495" s="13">
        <v>41815</v>
      </c>
    </row>
    <row r="496" spans="1:16">
      <c r="A496" s="10">
        <v>2014</v>
      </c>
      <c r="B496" s="11" t="s">
        <v>483</v>
      </c>
      <c r="C496" s="11" t="s">
        <v>484</v>
      </c>
      <c r="D496" s="12">
        <v>1015042</v>
      </c>
      <c r="E496" s="12">
        <v>2</v>
      </c>
      <c r="F496" s="12"/>
      <c r="G496" s="12">
        <v>400</v>
      </c>
      <c r="H496" s="12">
        <v>7</v>
      </c>
      <c r="I496" s="12"/>
      <c r="J496" s="12" t="s">
        <v>81</v>
      </c>
      <c r="K496" s="12" t="b">
        <v>1</v>
      </c>
      <c r="L496" s="12">
        <v>5</v>
      </c>
      <c r="M496" s="8">
        <v>2019</v>
      </c>
      <c r="N496" s="9">
        <v>0</v>
      </c>
      <c r="O496" s="13">
        <v>41815</v>
      </c>
      <c r="P496" s="13">
        <v>41815</v>
      </c>
    </row>
    <row r="497" spans="1:16">
      <c r="A497" s="10">
        <v>2014</v>
      </c>
      <c r="B497" s="11" t="s">
        <v>483</v>
      </c>
      <c r="C497" s="11" t="s">
        <v>484</v>
      </c>
      <c r="D497" s="12">
        <v>1015042</v>
      </c>
      <c r="E497" s="12">
        <v>2</v>
      </c>
      <c r="F497" s="12"/>
      <c r="G497" s="12">
        <v>400</v>
      </c>
      <c r="H497" s="12">
        <v>7</v>
      </c>
      <c r="I497" s="12"/>
      <c r="J497" s="12" t="s">
        <v>81</v>
      </c>
      <c r="K497" s="12" t="b">
        <v>1</v>
      </c>
      <c r="L497" s="12">
        <v>1</v>
      </c>
      <c r="M497" s="8">
        <v>2015</v>
      </c>
      <c r="N497" s="9">
        <v>0</v>
      </c>
      <c r="O497" s="13">
        <v>41815</v>
      </c>
      <c r="P497" s="13">
        <v>41815</v>
      </c>
    </row>
    <row r="498" spans="1:16">
      <c r="A498" s="10">
        <v>2014</v>
      </c>
      <c r="B498" s="11" t="s">
        <v>483</v>
      </c>
      <c r="C498" s="11" t="s">
        <v>484</v>
      </c>
      <c r="D498" s="12">
        <v>1015042</v>
      </c>
      <c r="E498" s="12">
        <v>2</v>
      </c>
      <c r="F498" s="12"/>
      <c r="G498" s="12">
        <v>400</v>
      </c>
      <c r="H498" s="12">
        <v>7</v>
      </c>
      <c r="I498" s="12"/>
      <c r="J498" s="12" t="s">
        <v>81</v>
      </c>
      <c r="K498" s="12" t="b">
        <v>1</v>
      </c>
      <c r="L498" s="12">
        <v>4</v>
      </c>
      <c r="M498" s="8">
        <v>2018</v>
      </c>
      <c r="N498" s="9">
        <v>0</v>
      </c>
      <c r="O498" s="13">
        <v>41815</v>
      </c>
      <c r="P498" s="13">
        <v>41815</v>
      </c>
    </row>
    <row r="499" spans="1:16">
      <c r="A499" s="10">
        <v>2014</v>
      </c>
      <c r="B499" s="11" t="s">
        <v>483</v>
      </c>
      <c r="C499" s="11" t="s">
        <v>484</v>
      </c>
      <c r="D499" s="12">
        <v>1015042</v>
      </c>
      <c r="E499" s="12">
        <v>2</v>
      </c>
      <c r="F499" s="12"/>
      <c r="G499" s="12">
        <v>130</v>
      </c>
      <c r="H499" s="12">
        <v>2.1</v>
      </c>
      <c r="I499" s="12"/>
      <c r="J499" s="12" t="s">
        <v>58</v>
      </c>
      <c r="K499" s="12" t="b">
        <v>1</v>
      </c>
      <c r="L499" s="12">
        <v>5</v>
      </c>
      <c r="M499" s="8">
        <v>2019</v>
      </c>
      <c r="N499" s="9">
        <v>7595956</v>
      </c>
      <c r="O499" s="13">
        <v>41815</v>
      </c>
      <c r="P499" s="13">
        <v>41815</v>
      </c>
    </row>
    <row r="500" spans="1:16">
      <c r="A500" s="10">
        <v>2014</v>
      </c>
      <c r="B500" s="11" t="s">
        <v>483</v>
      </c>
      <c r="C500" s="11" t="s">
        <v>484</v>
      </c>
      <c r="D500" s="12">
        <v>1015042</v>
      </c>
      <c r="E500" s="12">
        <v>2</v>
      </c>
      <c r="F500" s="12"/>
      <c r="G500" s="12">
        <v>130</v>
      </c>
      <c r="H500" s="12">
        <v>2.1</v>
      </c>
      <c r="I500" s="12"/>
      <c r="J500" s="12" t="s">
        <v>58</v>
      </c>
      <c r="K500" s="12" t="b">
        <v>1</v>
      </c>
      <c r="L500" s="12">
        <v>1</v>
      </c>
      <c r="M500" s="8">
        <v>2015</v>
      </c>
      <c r="N500" s="9">
        <v>7124924</v>
      </c>
      <c r="O500" s="13">
        <v>41815</v>
      </c>
      <c r="P500" s="13">
        <v>41815</v>
      </c>
    </row>
    <row r="501" spans="1:16">
      <c r="A501" s="10">
        <v>2014</v>
      </c>
      <c r="B501" s="11" t="s">
        <v>483</v>
      </c>
      <c r="C501" s="11" t="s">
        <v>484</v>
      </c>
      <c r="D501" s="12">
        <v>1015042</v>
      </c>
      <c r="E501" s="12">
        <v>2</v>
      </c>
      <c r="F501" s="12"/>
      <c r="G501" s="12">
        <v>130</v>
      </c>
      <c r="H501" s="12">
        <v>2.1</v>
      </c>
      <c r="I501" s="12"/>
      <c r="J501" s="12" t="s">
        <v>58</v>
      </c>
      <c r="K501" s="12" t="b">
        <v>1</v>
      </c>
      <c r="L501" s="12">
        <v>8</v>
      </c>
      <c r="M501" s="8">
        <v>2022</v>
      </c>
      <c r="N501" s="9">
        <v>7982625</v>
      </c>
      <c r="O501" s="13">
        <v>41815</v>
      </c>
      <c r="P501" s="13">
        <v>41815</v>
      </c>
    </row>
    <row r="502" spans="1:16">
      <c r="A502" s="10">
        <v>2014</v>
      </c>
      <c r="B502" s="11" t="s">
        <v>483</v>
      </c>
      <c r="C502" s="11" t="s">
        <v>484</v>
      </c>
      <c r="D502" s="12">
        <v>1015042</v>
      </c>
      <c r="E502" s="12">
        <v>2</v>
      </c>
      <c r="F502" s="12"/>
      <c r="G502" s="12">
        <v>130</v>
      </c>
      <c r="H502" s="12">
        <v>2.1</v>
      </c>
      <c r="I502" s="12"/>
      <c r="J502" s="12" t="s">
        <v>58</v>
      </c>
      <c r="K502" s="12" t="b">
        <v>1</v>
      </c>
      <c r="L502" s="12">
        <v>2</v>
      </c>
      <c r="M502" s="8">
        <v>2016</v>
      </c>
      <c r="N502" s="9">
        <v>7118393</v>
      </c>
      <c r="O502" s="13">
        <v>41815</v>
      </c>
      <c r="P502" s="13">
        <v>41815</v>
      </c>
    </row>
    <row r="503" spans="1:16">
      <c r="A503" s="10">
        <v>2014</v>
      </c>
      <c r="B503" s="11" t="s">
        <v>483</v>
      </c>
      <c r="C503" s="11" t="s">
        <v>484</v>
      </c>
      <c r="D503" s="12">
        <v>1015042</v>
      </c>
      <c r="E503" s="12">
        <v>2</v>
      </c>
      <c r="F503" s="12"/>
      <c r="G503" s="12">
        <v>130</v>
      </c>
      <c r="H503" s="12">
        <v>2.1</v>
      </c>
      <c r="I503" s="12"/>
      <c r="J503" s="12" t="s">
        <v>58</v>
      </c>
      <c r="K503" s="12" t="b">
        <v>1</v>
      </c>
      <c r="L503" s="12">
        <v>6</v>
      </c>
      <c r="M503" s="8">
        <v>2020</v>
      </c>
      <c r="N503" s="9">
        <v>7722155</v>
      </c>
      <c r="O503" s="13">
        <v>41815</v>
      </c>
      <c r="P503" s="13">
        <v>41815</v>
      </c>
    </row>
    <row r="504" spans="1:16">
      <c r="A504" s="10">
        <v>2014</v>
      </c>
      <c r="B504" s="11" t="s">
        <v>483</v>
      </c>
      <c r="C504" s="11" t="s">
        <v>484</v>
      </c>
      <c r="D504" s="12">
        <v>1015042</v>
      </c>
      <c r="E504" s="12">
        <v>2</v>
      </c>
      <c r="F504" s="12"/>
      <c r="G504" s="12">
        <v>130</v>
      </c>
      <c r="H504" s="12">
        <v>2.1</v>
      </c>
      <c r="I504" s="12"/>
      <c r="J504" s="12" t="s">
        <v>58</v>
      </c>
      <c r="K504" s="12" t="b">
        <v>1</v>
      </c>
      <c r="L504" s="12">
        <v>4</v>
      </c>
      <c r="M504" s="8">
        <v>2018</v>
      </c>
      <c r="N504" s="9">
        <v>7473702</v>
      </c>
      <c r="O504" s="13">
        <v>41815</v>
      </c>
      <c r="P504" s="13">
        <v>41815</v>
      </c>
    </row>
    <row r="505" spans="1:16">
      <c r="A505" s="10">
        <v>2014</v>
      </c>
      <c r="B505" s="11" t="s">
        <v>483</v>
      </c>
      <c r="C505" s="11" t="s">
        <v>484</v>
      </c>
      <c r="D505" s="12">
        <v>1015042</v>
      </c>
      <c r="E505" s="12">
        <v>2</v>
      </c>
      <c r="F505" s="12"/>
      <c r="G505" s="12">
        <v>130</v>
      </c>
      <c r="H505" s="12">
        <v>2.1</v>
      </c>
      <c r="I505" s="12"/>
      <c r="J505" s="12" t="s">
        <v>58</v>
      </c>
      <c r="K505" s="12" t="b">
        <v>1</v>
      </c>
      <c r="L505" s="12">
        <v>0</v>
      </c>
      <c r="M505" s="8">
        <v>2014</v>
      </c>
      <c r="N505" s="9">
        <v>7565258.8399999999</v>
      </c>
      <c r="O505" s="13">
        <v>41815</v>
      </c>
      <c r="P505" s="13">
        <v>41815</v>
      </c>
    </row>
    <row r="506" spans="1:16">
      <c r="A506" s="10">
        <v>2014</v>
      </c>
      <c r="B506" s="11" t="s">
        <v>483</v>
      </c>
      <c r="C506" s="11" t="s">
        <v>484</v>
      </c>
      <c r="D506" s="12">
        <v>1015042</v>
      </c>
      <c r="E506" s="12">
        <v>2</v>
      </c>
      <c r="F506" s="12"/>
      <c r="G506" s="12">
        <v>130</v>
      </c>
      <c r="H506" s="12">
        <v>2.1</v>
      </c>
      <c r="I506" s="12"/>
      <c r="J506" s="12" t="s">
        <v>58</v>
      </c>
      <c r="K506" s="12" t="b">
        <v>1</v>
      </c>
      <c r="L506" s="12">
        <v>7</v>
      </c>
      <c r="M506" s="8">
        <v>2021</v>
      </c>
      <c r="N506" s="9">
        <v>7850358</v>
      </c>
      <c r="O506" s="13">
        <v>41815</v>
      </c>
      <c r="P506" s="13">
        <v>41815</v>
      </c>
    </row>
    <row r="507" spans="1:16">
      <c r="A507" s="10">
        <v>2014</v>
      </c>
      <c r="B507" s="11" t="s">
        <v>483</v>
      </c>
      <c r="C507" s="11" t="s">
        <v>484</v>
      </c>
      <c r="D507" s="12">
        <v>1015042</v>
      </c>
      <c r="E507" s="12">
        <v>2</v>
      </c>
      <c r="F507" s="12"/>
      <c r="G507" s="12">
        <v>130</v>
      </c>
      <c r="H507" s="12">
        <v>2.1</v>
      </c>
      <c r="I507" s="12"/>
      <c r="J507" s="12" t="s">
        <v>58</v>
      </c>
      <c r="K507" s="12" t="b">
        <v>1</v>
      </c>
      <c r="L507" s="12">
        <v>3</v>
      </c>
      <c r="M507" s="8">
        <v>2017</v>
      </c>
      <c r="N507" s="9">
        <v>7344101</v>
      </c>
      <c r="O507" s="13">
        <v>41815</v>
      </c>
      <c r="P507" s="13">
        <v>41815</v>
      </c>
    </row>
    <row r="508" spans="1:16">
      <c r="A508" s="10">
        <v>2014</v>
      </c>
      <c r="B508" s="11" t="s">
        <v>483</v>
      </c>
      <c r="C508" s="11" t="s">
        <v>484</v>
      </c>
      <c r="D508" s="12">
        <v>1015042</v>
      </c>
      <c r="E508" s="12">
        <v>2</v>
      </c>
      <c r="F508" s="12"/>
      <c r="G508" s="12">
        <v>769</v>
      </c>
      <c r="H508" s="12">
        <v>12.8</v>
      </c>
      <c r="I508" s="12"/>
      <c r="J508" s="12" t="s">
        <v>408</v>
      </c>
      <c r="K508" s="12" t="b">
        <v>1</v>
      </c>
      <c r="L508" s="12">
        <v>7</v>
      </c>
      <c r="M508" s="8">
        <v>2021</v>
      </c>
      <c r="N508" s="9">
        <v>0</v>
      </c>
      <c r="O508" s="13">
        <v>41815</v>
      </c>
      <c r="P508" s="13">
        <v>41815</v>
      </c>
    </row>
    <row r="509" spans="1:16">
      <c r="A509" s="10">
        <v>2014</v>
      </c>
      <c r="B509" s="11" t="s">
        <v>483</v>
      </c>
      <c r="C509" s="11" t="s">
        <v>484</v>
      </c>
      <c r="D509" s="12">
        <v>1015042</v>
      </c>
      <c r="E509" s="12">
        <v>2</v>
      </c>
      <c r="F509" s="12"/>
      <c r="G509" s="12">
        <v>769</v>
      </c>
      <c r="H509" s="12">
        <v>12.8</v>
      </c>
      <c r="I509" s="12"/>
      <c r="J509" s="12" t="s">
        <v>408</v>
      </c>
      <c r="K509" s="12" t="b">
        <v>1</v>
      </c>
      <c r="L509" s="12">
        <v>8</v>
      </c>
      <c r="M509" s="8">
        <v>2022</v>
      </c>
      <c r="N509" s="9">
        <v>0</v>
      </c>
      <c r="O509" s="13">
        <v>41815</v>
      </c>
      <c r="P509" s="13">
        <v>41815</v>
      </c>
    </row>
    <row r="510" spans="1:16">
      <c r="A510" s="10">
        <v>2014</v>
      </c>
      <c r="B510" s="11" t="s">
        <v>483</v>
      </c>
      <c r="C510" s="11" t="s">
        <v>484</v>
      </c>
      <c r="D510" s="12">
        <v>1015042</v>
      </c>
      <c r="E510" s="12">
        <v>2</v>
      </c>
      <c r="F510" s="12"/>
      <c r="G510" s="12">
        <v>769</v>
      </c>
      <c r="H510" s="12">
        <v>12.8</v>
      </c>
      <c r="I510" s="12"/>
      <c r="J510" s="12" t="s">
        <v>408</v>
      </c>
      <c r="K510" s="12" t="b">
        <v>1</v>
      </c>
      <c r="L510" s="12">
        <v>6</v>
      </c>
      <c r="M510" s="8">
        <v>2020</v>
      </c>
      <c r="N510" s="9">
        <v>0</v>
      </c>
      <c r="O510" s="13">
        <v>41815</v>
      </c>
      <c r="P510" s="13">
        <v>41815</v>
      </c>
    </row>
    <row r="511" spans="1:16">
      <c r="A511" s="10">
        <v>2014</v>
      </c>
      <c r="B511" s="11" t="s">
        <v>483</v>
      </c>
      <c r="C511" s="11" t="s">
        <v>484</v>
      </c>
      <c r="D511" s="12">
        <v>1015042</v>
      </c>
      <c r="E511" s="12">
        <v>2</v>
      </c>
      <c r="F511" s="12"/>
      <c r="G511" s="12">
        <v>769</v>
      </c>
      <c r="H511" s="12">
        <v>12.8</v>
      </c>
      <c r="I511" s="12"/>
      <c r="J511" s="12" t="s">
        <v>408</v>
      </c>
      <c r="K511" s="12" t="b">
        <v>1</v>
      </c>
      <c r="L511" s="12">
        <v>3</v>
      </c>
      <c r="M511" s="8">
        <v>2017</v>
      </c>
      <c r="N511" s="9">
        <v>0</v>
      </c>
      <c r="O511" s="13">
        <v>41815</v>
      </c>
      <c r="P511" s="13">
        <v>41815</v>
      </c>
    </row>
    <row r="512" spans="1:16">
      <c r="A512" s="10">
        <v>2014</v>
      </c>
      <c r="B512" s="11" t="s">
        <v>483</v>
      </c>
      <c r="C512" s="11" t="s">
        <v>484</v>
      </c>
      <c r="D512" s="12">
        <v>1015042</v>
      </c>
      <c r="E512" s="12">
        <v>2</v>
      </c>
      <c r="F512" s="12"/>
      <c r="G512" s="12">
        <v>769</v>
      </c>
      <c r="H512" s="12">
        <v>12.8</v>
      </c>
      <c r="I512" s="12"/>
      <c r="J512" s="12" t="s">
        <v>408</v>
      </c>
      <c r="K512" s="12" t="b">
        <v>1</v>
      </c>
      <c r="L512" s="12">
        <v>1</v>
      </c>
      <c r="M512" s="8">
        <v>2015</v>
      </c>
      <c r="N512" s="9">
        <v>0</v>
      </c>
      <c r="O512" s="13">
        <v>41815</v>
      </c>
      <c r="P512" s="13">
        <v>41815</v>
      </c>
    </row>
    <row r="513" spans="1:16">
      <c r="A513" s="10">
        <v>2014</v>
      </c>
      <c r="B513" s="11" t="s">
        <v>483</v>
      </c>
      <c r="C513" s="11" t="s">
        <v>484</v>
      </c>
      <c r="D513" s="12">
        <v>1015042</v>
      </c>
      <c r="E513" s="12">
        <v>2</v>
      </c>
      <c r="F513" s="12"/>
      <c r="G513" s="12">
        <v>769</v>
      </c>
      <c r="H513" s="12">
        <v>12.8</v>
      </c>
      <c r="I513" s="12"/>
      <c r="J513" s="12" t="s">
        <v>408</v>
      </c>
      <c r="K513" s="12" t="b">
        <v>1</v>
      </c>
      <c r="L513" s="12">
        <v>0</v>
      </c>
      <c r="M513" s="8">
        <v>2014</v>
      </c>
      <c r="N513" s="9">
        <v>0</v>
      </c>
      <c r="O513" s="13">
        <v>41815</v>
      </c>
      <c r="P513" s="13">
        <v>41815</v>
      </c>
    </row>
    <row r="514" spans="1:16">
      <c r="A514" s="10">
        <v>2014</v>
      </c>
      <c r="B514" s="11" t="s">
        <v>483</v>
      </c>
      <c r="C514" s="11" t="s">
        <v>484</v>
      </c>
      <c r="D514" s="12">
        <v>1015042</v>
      </c>
      <c r="E514" s="12">
        <v>2</v>
      </c>
      <c r="F514" s="12"/>
      <c r="G514" s="12">
        <v>769</v>
      </c>
      <c r="H514" s="12">
        <v>12.8</v>
      </c>
      <c r="I514" s="12"/>
      <c r="J514" s="12" t="s">
        <v>408</v>
      </c>
      <c r="K514" s="12" t="b">
        <v>1</v>
      </c>
      <c r="L514" s="12">
        <v>4</v>
      </c>
      <c r="M514" s="8">
        <v>2018</v>
      </c>
      <c r="N514" s="9">
        <v>0</v>
      </c>
      <c r="O514" s="13">
        <v>41815</v>
      </c>
      <c r="P514" s="13">
        <v>41815</v>
      </c>
    </row>
    <row r="515" spans="1:16">
      <c r="A515" s="10">
        <v>2014</v>
      </c>
      <c r="B515" s="11" t="s">
        <v>483</v>
      </c>
      <c r="C515" s="11" t="s">
        <v>484</v>
      </c>
      <c r="D515" s="12">
        <v>1015042</v>
      </c>
      <c r="E515" s="12">
        <v>2</v>
      </c>
      <c r="F515" s="12"/>
      <c r="G515" s="12">
        <v>769</v>
      </c>
      <c r="H515" s="12">
        <v>12.8</v>
      </c>
      <c r="I515" s="12"/>
      <c r="J515" s="12" t="s">
        <v>408</v>
      </c>
      <c r="K515" s="12" t="b">
        <v>1</v>
      </c>
      <c r="L515" s="12">
        <v>5</v>
      </c>
      <c r="M515" s="8">
        <v>2019</v>
      </c>
      <c r="N515" s="9">
        <v>0</v>
      </c>
      <c r="O515" s="13">
        <v>41815</v>
      </c>
      <c r="P515" s="13">
        <v>41815</v>
      </c>
    </row>
    <row r="516" spans="1:16">
      <c r="A516" s="10">
        <v>2014</v>
      </c>
      <c r="B516" s="11" t="s">
        <v>483</v>
      </c>
      <c r="C516" s="11" t="s">
        <v>484</v>
      </c>
      <c r="D516" s="12">
        <v>1015042</v>
      </c>
      <c r="E516" s="12">
        <v>2</v>
      </c>
      <c r="F516" s="12"/>
      <c r="G516" s="12">
        <v>769</v>
      </c>
      <c r="H516" s="12">
        <v>12.8</v>
      </c>
      <c r="I516" s="12"/>
      <c r="J516" s="12" t="s">
        <v>408</v>
      </c>
      <c r="K516" s="12" t="b">
        <v>1</v>
      </c>
      <c r="L516" s="12">
        <v>2</v>
      </c>
      <c r="M516" s="8">
        <v>2016</v>
      </c>
      <c r="N516" s="9">
        <v>0</v>
      </c>
      <c r="O516" s="13">
        <v>41815</v>
      </c>
      <c r="P516" s="13">
        <v>41815</v>
      </c>
    </row>
    <row r="517" spans="1:16">
      <c r="A517" s="10">
        <v>2014</v>
      </c>
      <c r="B517" s="11" t="s">
        <v>483</v>
      </c>
      <c r="C517" s="11" t="s">
        <v>484</v>
      </c>
      <c r="D517" s="12">
        <v>1015042</v>
      </c>
      <c r="E517" s="12">
        <v>2</v>
      </c>
      <c r="F517" s="12"/>
      <c r="G517" s="12">
        <v>332</v>
      </c>
      <c r="H517" s="12" t="s">
        <v>79</v>
      </c>
      <c r="I517" s="12"/>
      <c r="J517" s="12" t="s">
        <v>371</v>
      </c>
      <c r="K517" s="12" t="b">
        <v>1</v>
      </c>
      <c r="L517" s="12">
        <v>5</v>
      </c>
      <c r="M517" s="8">
        <v>2019</v>
      </c>
      <c r="N517" s="9">
        <v>0</v>
      </c>
      <c r="O517" s="13">
        <v>41815</v>
      </c>
      <c r="P517" s="13">
        <v>41815</v>
      </c>
    </row>
    <row r="518" spans="1:16">
      <c r="A518" s="10">
        <v>2014</v>
      </c>
      <c r="B518" s="11" t="s">
        <v>483</v>
      </c>
      <c r="C518" s="11" t="s">
        <v>484</v>
      </c>
      <c r="D518" s="12">
        <v>1015042</v>
      </c>
      <c r="E518" s="12">
        <v>2</v>
      </c>
      <c r="F518" s="12"/>
      <c r="G518" s="12">
        <v>332</v>
      </c>
      <c r="H518" s="12" t="s">
        <v>79</v>
      </c>
      <c r="I518" s="12"/>
      <c r="J518" s="12" t="s">
        <v>371</v>
      </c>
      <c r="K518" s="12" t="b">
        <v>1</v>
      </c>
      <c r="L518" s="12">
        <v>3</v>
      </c>
      <c r="M518" s="8">
        <v>2017</v>
      </c>
      <c r="N518" s="9">
        <v>0</v>
      </c>
      <c r="O518" s="13">
        <v>41815</v>
      </c>
      <c r="P518" s="13">
        <v>41815</v>
      </c>
    </row>
    <row r="519" spans="1:16">
      <c r="A519" s="10">
        <v>2014</v>
      </c>
      <c r="B519" s="11" t="s">
        <v>483</v>
      </c>
      <c r="C519" s="11" t="s">
        <v>484</v>
      </c>
      <c r="D519" s="12">
        <v>1015042</v>
      </c>
      <c r="E519" s="12">
        <v>2</v>
      </c>
      <c r="F519" s="12"/>
      <c r="G519" s="12">
        <v>332</v>
      </c>
      <c r="H519" s="12" t="s">
        <v>79</v>
      </c>
      <c r="I519" s="12"/>
      <c r="J519" s="12" t="s">
        <v>371</v>
      </c>
      <c r="K519" s="12" t="b">
        <v>1</v>
      </c>
      <c r="L519" s="12">
        <v>8</v>
      </c>
      <c r="M519" s="8">
        <v>2022</v>
      </c>
      <c r="N519" s="9">
        <v>0</v>
      </c>
      <c r="O519" s="13">
        <v>41815</v>
      </c>
      <c r="P519" s="13">
        <v>41815</v>
      </c>
    </row>
    <row r="520" spans="1:16">
      <c r="A520" s="10">
        <v>2014</v>
      </c>
      <c r="B520" s="11" t="s">
        <v>483</v>
      </c>
      <c r="C520" s="11" t="s">
        <v>484</v>
      </c>
      <c r="D520" s="12">
        <v>1015042</v>
      </c>
      <c r="E520" s="12">
        <v>2</v>
      </c>
      <c r="F520" s="12"/>
      <c r="G520" s="12">
        <v>332</v>
      </c>
      <c r="H520" s="12" t="s">
        <v>79</v>
      </c>
      <c r="I520" s="12"/>
      <c r="J520" s="12" t="s">
        <v>371</v>
      </c>
      <c r="K520" s="12" t="b">
        <v>1</v>
      </c>
      <c r="L520" s="12">
        <v>0</v>
      </c>
      <c r="M520" s="8">
        <v>2014</v>
      </c>
      <c r="N520" s="9">
        <v>0</v>
      </c>
      <c r="O520" s="13">
        <v>41815</v>
      </c>
      <c r="P520" s="13">
        <v>41815</v>
      </c>
    </row>
    <row r="521" spans="1:16">
      <c r="A521" s="10">
        <v>2014</v>
      </c>
      <c r="B521" s="11" t="s">
        <v>483</v>
      </c>
      <c r="C521" s="11" t="s">
        <v>484</v>
      </c>
      <c r="D521" s="12">
        <v>1015042</v>
      </c>
      <c r="E521" s="12">
        <v>2</v>
      </c>
      <c r="F521" s="12"/>
      <c r="G521" s="12">
        <v>332</v>
      </c>
      <c r="H521" s="12" t="s">
        <v>79</v>
      </c>
      <c r="I521" s="12"/>
      <c r="J521" s="12" t="s">
        <v>371</v>
      </c>
      <c r="K521" s="12" t="b">
        <v>1</v>
      </c>
      <c r="L521" s="12">
        <v>6</v>
      </c>
      <c r="M521" s="8">
        <v>2020</v>
      </c>
      <c r="N521" s="9">
        <v>0</v>
      </c>
      <c r="O521" s="13">
        <v>41815</v>
      </c>
      <c r="P521" s="13">
        <v>41815</v>
      </c>
    </row>
    <row r="522" spans="1:16">
      <c r="A522" s="10">
        <v>2014</v>
      </c>
      <c r="B522" s="11" t="s">
        <v>483</v>
      </c>
      <c r="C522" s="11" t="s">
        <v>484</v>
      </c>
      <c r="D522" s="12">
        <v>1015042</v>
      </c>
      <c r="E522" s="12">
        <v>2</v>
      </c>
      <c r="F522" s="12"/>
      <c r="G522" s="12">
        <v>332</v>
      </c>
      <c r="H522" s="12" t="s">
        <v>79</v>
      </c>
      <c r="I522" s="12"/>
      <c r="J522" s="12" t="s">
        <v>371</v>
      </c>
      <c r="K522" s="12" t="b">
        <v>1</v>
      </c>
      <c r="L522" s="12">
        <v>7</v>
      </c>
      <c r="M522" s="8">
        <v>2021</v>
      </c>
      <c r="N522" s="9">
        <v>0</v>
      </c>
      <c r="O522" s="13">
        <v>41815</v>
      </c>
      <c r="P522" s="13">
        <v>41815</v>
      </c>
    </row>
    <row r="523" spans="1:16">
      <c r="A523" s="10">
        <v>2014</v>
      </c>
      <c r="B523" s="11" t="s">
        <v>483</v>
      </c>
      <c r="C523" s="11" t="s">
        <v>484</v>
      </c>
      <c r="D523" s="12">
        <v>1015042</v>
      </c>
      <c r="E523" s="12">
        <v>2</v>
      </c>
      <c r="F523" s="12"/>
      <c r="G523" s="12">
        <v>332</v>
      </c>
      <c r="H523" s="12" t="s">
        <v>79</v>
      </c>
      <c r="I523" s="12"/>
      <c r="J523" s="12" t="s">
        <v>371</v>
      </c>
      <c r="K523" s="12" t="b">
        <v>1</v>
      </c>
      <c r="L523" s="12">
        <v>1</v>
      </c>
      <c r="M523" s="8">
        <v>2015</v>
      </c>
      <c r="N523" s="9">
        <v>0</v>
      </c>
      <c r="O523" s="13">
        <v>41815</v>
      </c>
      <c r="P523" s="13">
        <v>41815</v>
      </c>
    </row>
    <row r="524" spans="1:16">
      <c r="A524" s="10">
        <v>2014</v>
      </c>
      <c r="B524" s="11" t="s">
        <v>483</v>
      </c>
      <c r="C524" s="11" t="s">
        <v>484</v>
      </c>
      <c r="D524" s="12">
        <v>1015042</v>
      </c>
      <c r="E524" s="12">
        <v>2</v>
      </c>
      <c r="F524" s="12"/>
      <c r="G524" s="12">
        <v>332</v>
      </c>
      <c r="H524" s="12" t="s">
        <v>79</v>
      </c>
      <c r="I524" s="12"/>
      <c r="J524" s="12" t="s">
        <v>371</v>
      </c>
      <c r="K524" s="12" t="b">
        <v>1</v>
      </c>
      <c r="L524" s="12">
        <v>4</v>
      </c>
      <c r="M524" s="8">
        <v>2018</v>
      </c>
      <c r="N524" s="9">
        <v>0</v>
      </c>
      <c r="O524" s="13">
        <v>41815</v>
      </c>
      <c r="P524" s="13">
        <v>41815</v>
      </c>
    </row>
    <row r="525" spans="1:16">
      <c r="A525" s="10">
        <v>2014</v>
      </c>
      <c r="B525" s="11" t="s">
        <v>483</v>
      </c>
      <c r="C525" s="11" t="s">
        <v>484</v>
      </c>
      <c r="D525" s="12">
        <v>1015042</v>
      </c>
      <c r="E525" s="12">
        <v>2</v>
      </c>
      <c r="F525" s="12"/>
      <c r="G525" s="12">
        <v>332</v>
      </c>
      <c r="H525" s="12" t="s">
        <v>79</v>
      </c>
      <c r="I525" s="12"/>
      <c r="J525" s="12" t="s">
        <v>371</v>
      </c>
      <c r="K525" s="12" t="b">
        <v>1</v>
      </c>
      <c r="L525" s="12">
        <v>2</v>
      </c>
      <c r="M525" s="8">
        <v>2016</v>
      </c>
      <c r="N525" s="9">
        <v>0</v>
      </c>
      <c r="O525" s="13">
        <v>41815</v>
      </c>
      <c r="P525" s="13">
        <v>41815</v>
      </c>
    </row>
    <row r="526" spans="1:16">
      <c r="A526" s="10">
        <v>2014</v>
      </c>
      <c r="B526" s="11" t="s">
        <v>483</v>
      </c>
      <c r="C526" s="11" t="s">
        <v>484</v>
      </c>
      <c r="D526" s="12">
        <v>1015042</v>
      </c>
      <c r="E526" s="12">
        <v>2</v>
      </c>
      <c r="F526" s="12"/>
      <c r="G526" s="12">
        <v>762</v>
      </c>
      <c r="H526" s="12" t="s">
        <v>116</v>
      </c>
      <c r="I526" s="12"/>
      <c r="J526" s="12" t="s">
        <v>117</v>
      </c>
      <c r="K526" s="12" t="b">
        <v>1</v>
      </c>
      <c r="L526" s="12">
        <v>7</v>
      </c>
      <c r="M526" s="8">
        <v>2021</v>
      </c>
      <c r="N526" s="9">
        <v>0</v>
      </c>
      <c r="O526" s="13">
        <v>41815</v>
      </c>
      <c r="P526" s="13">
        <v>41815</v>
      </c>
    </row>
    <row r="527" spans="1:16">
      <c r="A527" s="10">
        <v>2014</v>
      </c>
      <c r="B527" s="11" t="s">
        <v>483</v>
      </c>
      <c r="C527" s="11" t="s">
        <v>484</v>
      </c>
      <c r="D527" s="12">
        <v>1015042</v>
      </c>
      <c r="E527" s="12">
        <v>2</v>
      </c>
      <c r="F527" s="12"/>
      <c r="G527" s="12">
        <v>762</v>
      </c>
      <c r="H527" s="12" t="s">
        <v>116</v>
      </c>
      <c r="I527" s="12"/>
      <c r="J527" s="12" t="s">
        <v>117</v>
      </c>
      <c r="K527" s="12" t="b">
        <v>1</v>
      </c>
      <c r="L527" s="12">
        <v>8</v>
      </c>
      <c r="M527" s="8">
        <v>2022</v>
      </c>
      <c r="N527" s="9">
        <v>0</v>
      </c>
      <c r="O527" s="13">
        <v>41815</v>
      </c>
      <c r="P527" s="13">
        <v>41815</v>
      </c>
    </row>
    <row r="528" spans="1:16">
      <c r="A528" s="10">
        <v>2014</v>
      </c>
      <c r="B528" s="11" t="s">
        <v>483</v>
      </c>
      <c r="C528" s="11" t="s">
        <v>484</v>
      </c>
      <c r="D528" s="12">
        <v>1015042</v>
      </c>
      <c r="E528" s="12">
        <v>2</v>
      </c>
      <c r="F528" s="12"/>
      <c r="G528" s="12">
        <v>762</v>
      </c>
      <c r="H528" s="12" t="s">
        <v>116</v>
      </c>
      <c r="I528" s="12"/>
      <c r="J528" s="12" t="s">
        <v>117</v>
      </c>
      <c r="K528" s="12" t="b">
        <v>1</v>
      </c>
      <c r="L528" s="12">
        <v>2</v>
      </c>
      <c r="M528" s="8">
        <v>2016</v>
      </c>
      <c r="N528" s="9">
        <v>0</v>
      </c>
      <c r="O528" s="13">
        <v>41815</v>
      </c>
      <c r="P528" s="13">
        <v>41815</v>
      </c>
    </row>
    <row r="529" spans="1:16">
      <c r="A529" s="10">
        <v>2014</v>
      </c>
      <c r="B529" s="11" t="s">
        <v>483</v>
      </c>
      <c r="C529" s="11" t="s">
        <v>484</v>
      </c>
      <c r="D529" s="12">
        <v>1015042</v>
      </c>
      <c r="E529" s="12">
        <v>2</v>
      </c>
      <c r="F529" s="12"/>
      <c r="G529" s="12">
        <v>762</v>
      </c>
      <c r="H529" s="12" t="s">
        <v>116</v>
      </c>
      <c r="I529" s="12"/>
      <c r="J529" s="12" t="s">
        <v>117</v>
      </c>
      <c r="K529" s="12" t="b">
        <v>1</v>
      </c>
      <c r="L529" s="12">
        <v>3</v>
      </c>
      <c r="M529" s="8">
        <v>2017</v>
      </c>
      <c r="N529" s="9">
        <v>0</v>
      </c>
      <c r="O529" s="13">
        <v>41815</v>
      </c>
      <c r="P529" s="13">
        <v>41815</v>
      </c>
    </row>
    <row r="530" spans="1:16">
      <c r="A530" s="10">
        <v>2014</v>
      </c>
      <c r="B530" s="11" t="s">
        <v>483</v>
      </c>
      <c r="C530" s="11" t="s">
        <v>484</v>
      </c>
      <c r="D530" s="12">
        <v>1015042</v>
      </c>
      <c r="E530" s="12">
        <v>2</v>
      </c>
      <c r="F530" s="12"/>
      <c r="G530" s="12">
        <v>762</v>
      </c>
      <c r="H530" s="12" t="s">
        <v>116</v>
      </c>
      <c r="I530" s="12"/>
      <c r="J530" s="12" t="s">
        <v>117</v>
      </c>
      <c r="K530" s="12" t="b">
        <v>1</v>
      </c>
      <c r="L530" s="12">
        <v>4</v>
      </c>
      <c r="M530" s="8">
        <v>2018</v>
      </c>
      <c r="N530" s="9">
        <v>0</v>
      </c>
      <c r="O530" s="13">
        <v>41815</v>
      </c>
      <c r="P530" s="13">
        <v>41815</v>
      </c>
    </row>
    <row r="531" spans="1:16">
      <c r="A531" s="10">
        <v>2014</v>
      </c>
      <c r="B531" s="11" t="s">
        <v>483</v>
      </c>
      <c r="C531" s="11" t="s">
        <v>484</v>
      </c>
      <c r="D531" s="12">
        <v>1015042</v>
      </c>
      <c r="E531" s="12">
        <v>2</v>
      </c>
      <c r="F531" s="12"/>
      <c r="G531" s="12">
        <v>762</v>
      </c>
      <c r="H531" s="12" t="s">
        <v>116</v>
      </c>
      <c r="I531" s="12"/>
      <c r="J531" s="12" t="s">
        <v>117</v>
      </c>
      <c r="K531" s="12" t="b">
        <v>1</v>
      </c>
      <c r="L531" s="12">
        <v>6</v>
      </c>
      <c r="M531" s="8">
        <v>2020</v>
      </c>
      <c r="N531" s="9">
        <v>0</v>
      </c>
      <c r="O531" s="13">
        <v>41815</v>
      </c>
      <c r="P531" s="13">
        <v>41815</v>
      </c>
    </row>
    <row r="532" spans="1:16">
      <c r="A532" s="10">
        <v>2014</v>
      </c>
      <c r="B532" s="11" t="s">
        <v>483</v>
      </c>
      <c r="C532" s="11" t="s">
        <v>484</v>
      </c>
      <c r="D532" s="12">
        <v>1015042</v>
      </c>
      <c r="E532" s="12">
        <v>2</v>
      </c>
      <c r="F532" s="12"/>
      <c r="G532" s="12">
        <v>762</v>
      </c>
      <c r="H532" s="12" t="s">
        <v>116</v>
      </c>
      <c r="I532" s="12"/>
      <c r="J532" s="12" t="s">
        <v>117</v>
      </c>
      <c r="K532" s="12" t="b">
        <v>1</v>
      </c>
      <c r="L532" s="12">
        <v>0</v>
      </c>
      <c r="M532" s="8">
        <v>2014</v>
      </c>
      <c r="N532" s="9">
        <v>850962.17</v>
      </c>
      <c r="O532" s="13">
        <v>41815</v>
      </c>
      <c r="P532" s="13">
        <v>41815</v>
      </c>
    </row>
    <row r="533" spans="1:16">
      <c r="A533" s="10">
        <v>2014</v>
      </c>
      <c r="B533" s="11" t="s">
        <v>483</v>
      </c>
      <c r="C533" s="11" t="s">
        <v>484</v>
      </c>
      <c r="D533" s="12">
        <v>1015042</v>
      </c>
      <c r="E533" s="12">
        <v>2</v>
      </c>
      <c r="F533" s="12"/>
      <c r="G533" s="12">
        <v>762</v>
      </c>
      <c r="H533" s="12" t="s">
        <v>116</v>
      </c>
      <c r="I533" s="12"/>
      <c r="J533" s="12" t="s">
        <v>117</v>
      </c>
      <c r="K533" s="12" t="b">
        <v>1</v>
      </c>
      <c r="L533" s="12">
        <v>1</v>
      </c>
      <c r="M533" s="8">
        <v>2015</v>
      </c>
      <c r="N533" s="9">
        <v>0</v>
      </c>
      <c r="O533" s="13">
        <v>41815</v>
      </c>
      <c r="P533" s="13">
        <v>41815</v>
      </c>
    </row>
    <row r="534" spans="1:16">
      <c r="A534" s="10">
        <v>2014</v>
      </c>
      <c r="B534" s="11" t="s">
        <v>483</v>
      </c>
      <c r="C534" s="11" t="s">
        <v>484</v>
      </c>
      <c r="D534" s="12">
        <v>1015042</v>
      </c>
      <c r="E534" s="12">
        <v>2</v>
      </c>
      <c r="F534" s="12"/>
      <c r="G534" s="12">
        <v>762</v>
      </c>
      <c r="H534" s="12" t="s">
        <v>116</v>
      </c>
      <c r="I534" s="12"/>
      <c r="J534" s="12" t="s">
        <v>117</v>
      </c>
      <c r="K534" s="12" t="b">
        <v>1</v>
      </c>
      <c r="L534" s="12">
        <v>5</v>
      </c>
      <c r="M534" s="8">
        <v>2019</v>
      </c>
      <c r="N534" s="9">
        <v>0</v>
      </c>
      <c r="O534" s="13">
        <v>41815</v>
      </c>
      <c r="P534" s="13">
        <v>41815</v>
      </c>
    </row>
    <row r="535" spans="1:16">
      <c r="A535" s="10">
        <v>2014</v>
      </c>
      <c r="B535" s="11" t="s">
        <v>483</v>
      </c>
      <c r="C535" s="11" t="s">
        <v>484</v>
      </c>
      <c r="D535" s="12">
        <v>1015042</v>
      </c>
      <c r="E535" s="12">
        <v>2</v>
      </c>
      <c r="F535" s="12"/>
      <c r="G535" s="12">
        <v>590</v>
      </c>
      <c r="H535" s="12">
        <v>11.2</v>
      </c>
      <c r="I535" s="12"/>
      <c r="J535" s="12" t="s">
        <v>89</v>
      </c>
      <c r="K535" s="12" t="b">
        <v>1</v>
      </c>
      <c r="L535" s="12">
        <v>1</v>
      </c>
      <c r="M535" s="8">
        <v>2015</v>
      </c>
      <c r="N535" s="9">
        <v>1164603</v>
      </c>
      <c r="O535" s="13">
        <v>41815</v>
      </c>
      <c r="P535" s="13">
        <v>41815</v>
      </c>
    </row>
    <row r="536" spans="1:16">
      <c r="A536" s="10">
        <v>2014</v>
      </c>
      <c r="B536" s="11" t="s">
        <v>483</v>
      </c>
      <c r="C536" s="11" t="s">
        <v>484</v>
      </c>
      <c r="D536" s="12">
        <v>1015042</v>
      </c>
      <c r="E536" s="12">
        <v>2</v>
      </c>
      <c r="F536" s="12"/>
      <c r="G536" s="12">
        <v>590</v>
      </c>
      <c r="H536" s="12">
        <v>11.2</v>
      </c>
      <c r="I536" s="12"/>
      <c r="J536" s="12" t="s">
        <v>89</v>
      </c>
      <c r="K536" s="12" t="b">
        <v>1</v>
      </c>
      <c r="L536" s="12">
        <v>6</v>
      </c>
      <c r="M536" s="8">
        <v>2020</v>
      </c>
      <c r="N536" s="9">
        <v>0</v>
      </c>
      <c r="O536" s="13">
        <v>41815</v>
      </c>
      <c r="P536" s="13">
        <v>41815</v>
      </c>
    </row>
    <row r="537" spans="1:16">
      <c r="A537" s="10">
        <v>2014</v>
      </c>
      <c r="B537" s="11" t="s">
        <v>483</v>
      </c>
      <c r="C537" s="11" t="s">
        <v>484</v>
      </c>
      <c r="D537" s="12">
        <v>1015042</v>
      </c>
      <c r="E537" s="12">
        <v>2</v>
      </c>
      <c r="F537" s="12"/>
      <c r="G537" s="12">
        <v>590</v>
      </c>
      <c r="H537" s="12">
        <v>11.2</v>
      </c>
      <c r="I537" s="12"/>
      <c r="J537" s="12" t="s">
        <v>89</v>
      </c>
      <c r="K537" s="12" t="b">
        <v>1</v>
      </c>
      <c r="L537" s="12">
        <v>0</v>
      </c>
      <c r="M537" s="8">
        <v>2014</v>
      </c>
      <c r="N537" s="9">
        <v>1154984</v>
      </c>
      <c r="O537" s="13">
        <v>41815</v>
      </c>
      <c r="P537" s="13">
        <v>41815</v>
      </c>
    </row>
    <row r="538" spans="1:16">
      <c r="A538" s="10">
        <v>2014</v>
      </c>
      <c r="B538" s="11" t="s">
        <v>483</v>
      </c>
      <c r="C538" s="11" t="s">
        <v>484</v>
      </c>
      <c r="D538" s="12">
        <v>1015042</v>
      </c>
      <c r="E538" s="12">
        <v>2</v>
      </c>
      <c r="F538" s="12"/>
      <c r="G538" s="12">
        <v>590</v>
      </c>
      <c r="H538" s="12">
        <v>11.2</v>
      </c>
      <c r="I538" s="12"/>
      <c r="J538" s="12" t="s">
        <v>89</v>
      </c>
      <c r="K538" s="12" t="b">
        <v>1</v>
      </c>
      <c r="L538" s="12">
        <v>8</v>
      </c>
      <c r="M538" s="8">
        <v>2022</v>
      </c>
      <c r="N538" s="9">
        <v>0</v>
      </c>
      <c r="O538" s="13">
        <v>41815</v>
      </c>
      <c r="P538" s="13">
        <v>41815</v>
      </c>
    </row>
    <row r="539" spans="1:16">
      <c r="A539" s="10">
        <v>2014</v>
      </c>
      <c r="B539" s="11" t="s">
        <v>483</v>
      </c>
      <c r="C539" s="11" t="s">
        <v>484</v>
      </c>
      <c r="D539" s="12">
        <v>1015042</v>
      </c>
      <c r="E539" s="12">
        <v>2</v>
      </c>
      <c r="F539" s="12"/>
      <c r="G539" s="12">
        <v>590</v>
      </c>
      <c r="H539" s="12">
        <v>11.2</v>
      </c>
      <c r="I539" s="12"/>
      <c r="J539" s="12" t="s">
        <v>89</v>
      </c>
      <c r="K539" s="12" t="b">
        <v>1</v>
      </c>
      <c r="L539" s="12">
        <v>4</v>
      </c>
      <c r="M539" s="8">
        <v>2018</v>
      </c>
      <c r="N539" s="9">
        <v>0</v>
      </c>
      <c r="O539" s="13">
        <v>41815</v>
      </c>
      <c r="P539" s="13">
        <v>41815</v>
      </c>
    </row>
    <row r="540" spans="1:16">
      <c r="A540" s="10">
        <v>2014</v>
      </c>
      <c r="B540" s="11" t="s">
        <v>483</v>
      </c>
      <c r="C540" s="11" t="s">
        <v>484</v>
      </c>
      <c r="D540" s="12">
        <v>1015042</v>
      </c>
      <c r="E540" s="12">
        <v>2</v>
      </c>
      <c r="F540" s="12"/>
      <c r="G540" s="12">
        <v>590</v>
      </c>
      <c r="H540" s="12">
        <v>11.2</v>
      </c>
      <c r="I540" s="12"/>
      <c r="J540" s="12" t="s">
        <v>89</v>
      </c>
      <c r="K540" s="12" t="b">
        <v>1</v>
      </c>
      <c r="L540" s="12">
        <v>5</v>
      </c>
      <c r="M540" s="8">
        <v>2019</v>
      </c>
      <c r="N540" s="9">
        <v>0</v>
      </c>
      <c r="O540" s="13">
        <v>41815</v>
      </c>
      <c r="P540" s="13">
        <v>41815</v>
      </c>
    </row>
    <row r="541" spans="1:16">
      <c r="A541" s="10">
        <v>2014</v>
      </c>
      <c r="B541" s="11" t="s">
        <v>483</v>
      </c>
      <c r="C541" s="11" t="s">
        <v>484</v>
      </c>
      <c r="D541" s="12">
        <v>1015042</v>
      </c>
      <c r="E541" s="12">
        <v>2</v>
      </c>
      <c r="F541" s="12"/>
      <c r="G541" s="12">
        <v>590</v>
      </c>
      <c r="H541" s="12">
        <v>11.2</v>
      </c>
      <c r="I541" s="12"/>
      <c r="J541" s="12" t="s">
        <v>89</v>
      </c>
      <c r="K541" s="12" t="b">
        <v>1</v>
      </c>
      <c r="L541" s="12">
        <v>2</v>
      </c>
      <c r="M541" s="8">
        <v>2016</v>
      </c>
      <c r="N541" s="9">
        <v>1166149</v>
      </c>
      <c r="O541" s="13">
        <v>41815</v>
      </c>
      <c r="P541" s="13">
        <v>41815</v>
      </c>
    </row>
    <row r="542" spans="1:16">
      <c r="A542" s="10">
        <v>2014</v>
      </c>
      <c r="B542" s="11" t="s">
        <v>483</v>
      </c>
      <c r="C542" s="11" t="s">
        <v>484</v>
      </c>
      <c r="D542" s="12">
        <v>1015042</v>
      </c>
      <c r="E542" s="12">
        <v>2</v>
      </c>
      <c r="F542" s="12"/>
      <c r="G542" s="12">
        <v>590</v>
      </c>
      <c r="H542" s="12">
        <v>11.2</v>
      </c>
      <c r="I542" s="12"/>
      <c r="J542" s="12" t="s">
        <v>89</v>
      </c>
      <c r="K542" s="12" t="b">
        <v>1</v>
      </c>
      <c r="L542" s="12">
        <v>7</v>
      </c>
      <c r="M542" s="8">
        <v>2021</v>
      </c>
      <c r="N542" s="9">
        <v>0</v>
      </c>
      <c r="O542" s="13">
        <v>41815</v>
      </c>
      <c r="P542" s="13">
        <v>41815</v>
      </c>
    </row>
    <row r="543" spans="1:16">
      <c r="A543" s="10">
        <v>2014</v>
      </c>
      <c r="B543" s="11" t="s">
        <v>483</v>
      </c>
      <c r="C543" s="11" t="s">
        <v>484</v>
      </c>
      <c r="D543" s="12">
        <v>1015042</v>
      </c>
      <c r="E543" s="12">
        <v>2</v>
      </c>
      <c r="F543" s="12"/>
      <c r="G543" s="12">
        <v>590</v>
      </c>
      <c r="H543" s="12">
        <v>11.2</v>
      </c>
      <c r="I543" s="12"/>
      <c r="J543" s="12" t="s">
        <v>89</v>
      </c>
      <c r="K543" s="12" t="b">
        <v>1</v>
      </c>
      <c r="L543" s="12">
        <v>3</v>
      </c>
      <c r="M543" s="8">
        <v>2017</v>
      </c>
      <c r="N543" s="9">
        <v>1177811</v>
      </c>
      <c r="O543" s="13">
        <v>41815</v>
      </c>
      <c r="P543" s="13">
        <v>41815</v>
      </c>
    </row>
    <row r="544" spans="1:16">
      <c r="A544" s="10">
        <v>2014</v>
      </c>
      <c r="B544" s="11" t="s">
        <v>483</v>
      </c>
      <c r="C544" s="11" t="s">
        <v>484</v>
      </c>
      <c r="D544" s="12">
        <v>1015042</v>
      </c>
      <c r="E544" s="12">
        <v>2</v>
      </c>
      <c r="F544" s="12"/>
      <c r="G544" s="12">
        <v>580</v>
      </c>
      <c r="H544" s="12">
        <v>11.1</v>
      </c>
      <c r="I544" s="12"/>
      <c r="J544" s="12" t="s">
        <v>88</v>
      </c>
      <c r="K544" s="12" t="b">
        <v>0</v>
      </c>
      <c r="L544" s="12">
        <v>1</v>
      </c>
      <c r="M544" s="8">
        <v>2015</v>
      </c>
      <c r="N544" s="9">
        <v>3352879</v>
      </c>
      <c r="O544" s="13">
        <v>41815</v>
      </c>
      <c r="P544" s="13">
        <v>41815</v>
      </c>
    </row>
    <row r="545" spans="1:16">
      <c r="A545" s="10">
        <v>2014</v>
      </c>
      <c r="B545" s="11" t="s">
        <v>483</v>
      </c>
      <c r="C545" s="11" t="s">
        <v>484</v>
      </c>
      <c r="D545" s="12">
        <v>1015042</v>
      </c>
      <c r="E545" s="12">
        <v>2</v>
      </c>
      <c r="F545" s="12"/>
      <c r="G545" s="12">
        <v>580</v>
      </c>
      <c r="H545" s="12">
        <v>11.1</v>
      </c>
      <c r="I545" s="12"/>
      <c r="J545" s="12" t="s">
        <v>88</v>
      </c>
      <c r="K545" s="12" t="b">
        <v>0</v>
      </c>
      <c r="L545" s="12">
        <v>0</v>
      </c>
      <c r="M545" s="8">
        <v>2014</v>
      </c>
      <c r="N545" s="9">
        <v>3315301.8</v>
      </c>
      <c r="O545" s="13">
        <v>41815</v>
      </c>
      <c r="P545" s="13">
        <v>41815</v>
      </c>
    </row>
    <row r="546" spans="1:16">
      <c r="A546" s="10">
        <v>2014</v>
      </c>
      <c r="B546" s="11" t="s">
        <v>483</v>
      </c>
      <c r="C546" s="11" t="s">
        <v>484</v>
      </c>
      <c r="D546" s="12">
        <v>1015042</v>
      </c>
      <c r="E546" s="12">
        <v>2</v>
      </c>
      <c r="F546" s="12"/>
      <c r="G546" s="12">
        <v>580</v>
      </c>
      <c r="H546" s="12">
        <v>11.1</v>
      </c>
      <c r="I546" s="12"/>
      <c r="J546" s="12" t="s">
        <v>88</v>
      </c>
      <c r="K546" s="12" t="b">
        <v>0</v>
      </c>
      <c r="L546" s="12">
        <v>6</v>
      </c>
      <c r="M546" s="8">
        <v>2020</v>
      </c>
      <c r="N546" s="9">
        <v>0</v>
      </c>
      <c r="O546" s="13">
        <v>41815</v>
      </c>
      <c r="P546" s="13">
        <v>41815</v>
      </c>
    </row>
    <row r="547" spans="1:16">
      <c r="A547" s="10">
        <v>2014</v>
      </c>
      <c r="B547" s="11" t="s">
        <v>483</v>
      </c>
      <c r="C547" s="11" t="s">
        <v>484</v>
      </c>
      <c r="D547" s="12">
        <v>1015042</v>
      </c>
      <c r="E547" s="12">
        <v>2</v>
      </c>
      <c r="F547" s="12"/>
      <c r="G547" s="12">
        <v>580</v>
      </c>
      <c r="H547" s="12">
        <v>11.1</v>
      </c>
      <c r="I547" s="12"/>
      <c r="J547" s="12" t="s">
        <v>88</v>
      </c>
      <c r="K547" s="12" t="b">
        <v>0</v>
      </c>
      <c r="L547" s="12">
        <v>5</v>
      </c>
      <c r="M547" s="8">
        <v>2019</v>
      </c>
      <c r="N547" s="9">
        <v>0</v>
      </c>
      <c r="O547" s="13">
        <v>41815</v>
      </c>
      <c r="P547" s="13">
        <v>41815</v>
      </c>
    </row>
    <row r="548" spans="1:16">
      <c r="A548" s="10">
        <v>2014</v>
      </c>
      <c r="B548" s="11" t="s">
        <v>483</v>
      </c>
      <c r="C548" s="11" t="s">
        <v>484</v>
      </c>
      <c r="D548" s="12">
        <v>1015042</v>
      </c>
      <c r="E548" s="12">
        <v>2</v>
      </c>
      <c r="F548" s="12"/>
      <c r="G548" s="12">
        <v>580</v>
      </c>
      <c r="H548" s="12">
        <v>11.1</v>
      </c>
      <c r="I548" s="12"/>
      <c r="J548" s="12" t="s">
        <v>88</v>
      </c>
      <c r="K548" s="12" t="b">
        <v>0</v>
      </c>
      <c r="L548" s="12">
        <v>4</v>
      </c>
      <c r="M548" s="8">
        <v>2018</v>
      </c>
      <c r="N548" s="9">
        <v>0</v>
      </c>
      <c r="O548" s="13">
        <v>41815</v>
      </c>
      <c r="P548" s="13">
        <v>41815</v>
      </c>
    </row>
    <row r="549" spans="1:16">
      <c r="A549" s="10">
        <v>2014</v>
      </c>
      <c r="B549" s="11" t="s">
        <v>483</v>
      </c>
      <c r="C549" s="11" t="s">
        <v>484</v>
      </c>
      <c r="D549" s="12">
        <v>1015042</v>
      </c>
      <c r="E549" s="12">
        <v>2</v>
      </c>
      <c r="F549" s="12"/>
      <c r="G549" s="12">
        <v>580</v>
      </c>
      <c r="H549" s="12">
        <v>11.1</v>
      </c>
      <c r="I549" s="12"/>
      <c r="J549" s="12" t="s">
        <v>88</v>
      </c>
      <c r="K549" s="12" t="b">
        <v>0</v>
      </c>
      <c r="L549" s="12">
        <v>7</v>
      </c>
      <c r="M549" s="8">
        <v>2021</v>
      </c>
      <c r="N549" s="9">
        <v>0</v>
      </c>
      <c r="O549" s="13">
        <v>41815</v>
      </c>
      <c r="P549" s="13">
        <v>41815</v>
      </c>
    </row>
    <row r="550" spans="1:16">
      <c r="A550" s="10">
        <v>2014</v>
      </c>
      <c r="B550" s="11" t="s">
        <v>483</v>
      </c>
      <c r="C550" s="11" t="s">
        <v>484</v>
      </c>
      <c r="D550" s="12">
        <v>1015042</v>
      </c>
      <c r="E550" s="12">
        <v>2</v>
      </c>
      <c r="F550" s="12"/>
      <c r="G550" s="12">
        <v>580</v>
      </c>
      <c r="H550" s="12">
        <v>11.1</v>
      </c>
      <c r="I550" s="12"/>
      <c r="J550" s="12" t="s">
        <v>88</v>
      </c>
      <c r="K550" s="12" t="b">
        <v>0</v>
      </c>
      <c r="L550" s="12">
        <v>3</v>
      </c>
      <c r="M550" s="8">
        <v>2017</v>
      </c>
      <c r="N550" s="9">
        <v>3488336</v>
      </c>
      <c r="O550" s="13">
        <v>41815</v>
      </c>
      <c r="P550" s="13">
        <v>41815</v>
      </c>
    </row>
    <row r="551" spans="1:16">
      <c r="A551" s="10">
        <v>2014</v>
      </c>
      <c r="B551" s="11" t="s">
        <v>483</v>
      </c>
      <c r="C551" s="11" t="s">
        <v>484</v>
      </c>
      <c r="D551" s="12">
        <v>1015042</v>
      </c>
      <c r="E551" s="12">
        <v>2</v>
      </c>
      <c r="F551" s="12"/>
      <c r="G551" s="12">
        <v>580</v>
      </c>
      <c r="H551" s="12">
        <v>11.1</v>
      </c>
      <c r="I551" s="12"/>
      <c r="J551" s="12" t="s">
        <v>88</v>
      </c>
      <c r="K551" s="12" t="b">
        <v>0</v>
      </c>
      <c r="L551" s="12">
        <v>2</v>
      </c>
      <c r="M551" s="8">
        <v>2016</v>
      </c>
      <c r="N551" s="9">
        <v>3419937</v>
      </c>
      <c r="O551" s="13">
        <v>41815</v>
      </c>
      <c r="P551" s="13">
        <v>41815</v>
      </c>
    </row>
    <row r="552" spans="1:16">
      <c r="A552" s="10">
        <v>2014</v>
      </c>
      <c r="B552" s="11" t="s">
        <v>483</v>
      </c>
      <c r="C552" s="11" t="s">
        <v>484</v>
      </c>
      <c r="D552" s="12">
        <v>1015042</v>
      </c>
      <c r="E552" s="12">
        <v>2</v>
      </c>
      <c r="F552" s="12"/>
      <c r="G552" s="12">
        <v>580</v>
      </c>
      <c r="H552" s="12">
        <v>11.1</v>
      </c>
      <c r="I552" s="12"/>
      <c r="J552" s="12" t="s">
        <v>88</v>
      </c>
      <c r="K552" s="12" t="b">
        <v>0</v>
      </c>
      <c r="L552" s="12">
        <v>8</v>
      </c>
      <c r="M552" s="8">
        <v>2022</v>
      </c>
      <c r="N552" s="9">
        <v>0</v>
      </c>
      <c r="O552" s="13">
        <v>41815</v>
      </c>
      <c r="P552" s="13">
        <v>41815</v>
      </c>
    </row>
    <row r="553" spans="1:16">
      <c r="A553" s="10">
        <v>2014</v>
      </c>
      <c r="B553" s="11" t="s">
        <v>483</v>
      </c>
      <c r="C553" s="11" t="s">
        <v>484</v>
      </c>
      <c r="D553" s="12">
        <v>1015042</v>
      </c>
      <c r="E553" s="12">
        <v>2</v>
      </c>
      <c r="F553" s="12"/>
      <c r="G553" s="12">
        <v>600</v>
      </c>
      <c r="H553" s="12">
        <v>11.3</v>
      </c>
      <c r="I553" s="12" t="s">
        <v>395</v>
      </c>
      <c r="J553" s="12" t="s">
        <v>396</v>
      </c>
      <c r="K553" s="12" t="b">
        <v>1</v>
      </c>
      <c r="L553" s="12">
        <v>8</v>
      </c>
      <c r="M553" s="8">
        <v>2022</v>
      </c>
      <c r="N553" s="9">
        <v>0</v>
      </c>
      <c r="O553" s="13">
        <v>41815</v>
      </c>
      <c r="P553" s="13">
        <v>41815</v>
      </c>
    </row>
    <row r="554" spans="1:16">
      <c r="A554" s="10">
        <v>2014</v>
      </c>
      <c r="B554" s="11" t="s">
        <v>483</v>
      </c>
      <c r="C554" s="11" t="s">
        <v>484</v>
      </c>
      <c r="D554" s="12">
        <v>1015042</v>
      </c>
      <c r="E554" s="12">
        <v>2</v>
      </c>
      <c r="F554" s="12"/>
      <c r="G554" s="12">
        <v>600</v>
      </c>
      <c r="H554" s="12">
        <v>11.3</v>
      </c>
      <c r="I554" s="12" t="s">
        <v>395</v>
      </c>
      <c r="J554" s="12" t="s">
        <v>396</v>
      </c>
      <c r="K554" s="12" t="b">
        <v>1</v>
      </c>
      <c r="L554" s="12">
        <v>7</v>
      </c>
      <c r="M554" s="8">
        <v>2021</v>
      </c>
      <c r="N554" s="9">
        <v>0</v>
      </c>
      <c r="O554" s="13">
        <v>41815</v>
      </c>
      <c r="P554" s="13">
        <v>41815</v>
      </c>
    </row>
    <row r="555" spans="1:16">
      <c r="A555" s="10">
        <v>2014</v>
      </c>
      <c r="B555" s="11" t="s">
        <v>483</v>
      </c>
      <c r="C555" s="11" t="s">
        <v>484</v>
      </c>
      <c r="D555" s="12">
        <v>1015042</v>
      </c>
      <c r="E555" s="12">
        <v>2</v>
      </c>
      <c r="F555" s="12"/>
      <c r="G555" s="12">
        <v>600</v>
      </c>
      <c r="H555" s="12">
        <v>11.3</v>
      </c>
      <c r="I555" s="12" t="s">
        <v>395</v>
      </c>
      <c r="J555" s="12" t="s">
        <v>396</v>
      </c>
      <c r="K555" s="12" t="b">
        <v>1</v>
      </c>
      <c r="L555" s="12">
        <v>5</v>
      </c>
      <c r="M555" s="8">
        <v>2019</v>
      </c>
      <c r="N555" s="9">
        <v>0</v>
      </c>
      <c r="O555" s="13">
        <v>41815</v>
      </c>
      <c r="P555" s="13">
        <v>41815</v>
      </c>
    </row>
    <row r="556" spans="1:16">
      <c r="A556" s="10">
        <v>2014</v>
      </c>
      <c r="B556" s="11" t="s">
        <v>483</v>
      </c>
      <c r="C556" s="11" t="s">
        <v>484</v>
      </c>
      <c r="D556" s="12">
        <v>1015042</v>
      </c>
      <c r="E556" s="12">
        <v>2</v>
      </c>
      <c r="F556" s="12"/>
      <c r="G556" s="12">
        <v>600</v>
      </c>
      <c r="H556" s="12">
        <v>11.3</v>
      </c>
      <c r="I556" s="12" t="s">
        <v>395</v>
      </c>
      <c r="J556" s="12" t="s">
        <v>396</v>
      </c>
      <c r="K556" s="12" t="b">
        <v>1</v>
      </c>
      <c r="L556" s="12">
        <v>4</v>
      </c>
      <c r="M556" s="8">
        <v>2018</v>
      </c>
      <c r="N556" s="9">
        <v>0</v>
      </c>
      <c r="O556" s="13">
        <v>41815</v>
      </c>
      <c r="P556" s="13">
        <v>41815</v>
      </c>
    </row>
    <row r="557" spans="1:16">
      <c r="A557" s="10">
        <v>2014</v>
      </c>
      <c r="B557" s="11" t="s">
        <v>483</v>
      </c>
      <c r="C557" s="11" t="s">
        <v>484</v>
      </c>
      <c r="D557" s="12">
        <v>1015042</v>
      </c>
      <c r="E557" s="12">
        <v>2</v>
      </c>
      <c r="F557" s="12"/>
      <c r="G557" s="12">
        <v>600</v>
      </c>
      <c r="H557" s="12">
        <v>11.3</v>
      </c>
      <c r="I557" s="12" t="s">
        <v>395</v>
      </c>
      <c r="J557" s="12" t="s">
        <v>396</v>
      </c>
      <c r="K557" s="12" t="b">
        <v>1</v>
      </c>
      <c r="L557" s="12">
        <v>1</v>
      </c>
      <c r="M557" s="8">
        <v>2015</v>
      </c>
      <c r="N557" s="9">
        <v>70939.199999999997</v>
      </c>
      <c r="O557" s="13">
        <v>41815</v>
      </c>
      <c r="P557" s="13">
        <v>41815</v>
      </c>
    </row>
    <row r="558" spans="1:16">
      <c r="A558" s="10">
        <v>2014</v>
      </c>
      <c r="B558" s="11" t="s">
        <v>483</v>
      </c>
      <c r="C558" s="11" t="s">
        <v>484</v>
      </c>
      <c r="D558" s="12">
        <v>1015042</v>
      </c>
      <c r="E558" s="12">
        <v>2</v>
      </c>
      <c r="F558" s="12"/>
      <c r="G558" s="12">
        <v>600</v>
      </c>
      <c r="H558" s="12">
        <v>11.3</v>
      </c>
      <c r="I558" s="12" t="s">
        <v>395</v>
      </c>
      <c r="J558" s="12" t="s">
        <v>396</v>
      </c>
      <c r="K558" s="12" t="b">
        <v>1</v>
      </c>
      <c r="L558" s="12">
        <v>2</v>
      </c>
      <c r="M558" s="8">
        <v>2016</v>
      </c>
      <c r="N558" s="9">
        <v>0</v>
      </c>
      <c r="O558" s="13">
        <v>41815</v>
      </c>
      <c r="P558" s="13">
        <v>41815</v>
      </c>
    </row>
    <row r="559" spans="1:16">
      <c r="A559" s="10">
        <v>2014</v>
      </c>
      <c r="B559" s="11" t="s">
        <v>483</v>
      </c>
      <c r="C559" s="11" t="s">
        <v>484</v>
      </c>
      <c r="D559" s="12">
        <v>1015042</v>
      </c>
      <c r="E559" s="12">
        <v>2</v>
      </c>
      <c r="F559" s="12"/>
      <c r="G559" s="12">
        <v>600</v>
      </c>
      <c r="H559" s="12">
        <v>11.3</v>
      </c>
      <c r="I559" s="12" t="s">
        <v>395</v>
      </c>
      <c r="J559" s="12" t="s">
        <v>396</v>
      </c>
      <c r="K559" s="12" t="b">
        <v>1</v>
      </c>
      <c r="L559" s="12">
        <v>3</v>
      </c>
      <c r="M559" s="8">
        <v>2017</v>
      </c>
      <c r="N559" s="9">
        <v>0</v>
      </c>
      <c r="O559" s="13">
        <v>41815</v>
      </c>
      <c r="P559" s="13">
        <v>41815</v>
      </c>
    </row>
    <row r="560" spans="1:16">
      <c r="A560" s="10">
        <v>2014</v>
      </c>
      <c r="B560" s="11" t="s">
        <v>483</v>
      </c>
      <c r="C560" s="11" t="s">
        <v>484</v>
      </c>
      <c r="D560" s="12">
        <v>1015042</v>
      </c>
      <c r="E560" s="12">
        <v>2</v>
      </c>
      <c r="F560" s="12"/>
      <c r="G560" s="12">
        <v>600</v>
      </c>
      <c r="H560" s="12">
        <v>11.3</v>
      </c>
      <c r="I560" s="12" t="s">
        <v>395</v>
      </c>
      <c r="J560" s="12" t="s">
        <v>396</v>
      </c>
      <c r="K560" s="12" t="b">
        <v>1</v>
      </c>
      <c r="L560" s="12">
        <v>6</v>
      </c>
      <c r="M560" s="8">
        <v>2020</v>
      </c>
      <c r="N560" s="9">
        <v>0</v>
      </c>
      <c r="O560" s="13">
        <v>41815</v>
      </c>
      <c r="P560" s="13">
        <v>41815</v>
      </c>
    </row>
    <row r="561" spans="1:16">
      <c r="A561" s="10">
        <v>2014</v>
      </c>
      <c r="B561" s="11" t="s">
        <v>483</v>
      </c>
      <c r="C561" s="11" t="s">
        <v>484</v>
      </c>
      <c r="D561" s="12">
        <v>1015042</v>
      </c>
      <c r="E561" s="12">
        <v>2</v>
      </c>
      <c r="F561" s="12"/>
      <c r="G561" s="12">
        <v>600</v>
      </c>
      <c r="H561" s="12">
        <v>11.3</v>
      </c>
      <c r="I561" s="12" t="s">
        <v>395</v>
      </c>
      <c r="J561" s="12" t="s">
        <v>396</v>
      </c>
      <c r="K561" s="12" t="b">
        <v>1</v>
      </c>
      <c r="L561" s="12">
        <v>0</v>
      </c>
      <c r="M561" s="8">
        <v>2014</v>
      </c>
      <c r="N561" s="9">
        <v>1470505.19</v>
      </c>
      <c r="O561" s="13">
        <v>41815</v>
      </c>
      <c r="P561" s="13">
        <v>41815</v>
      </c>
    </row>
    <row r="562" spans="1:16">
      <c r="A562" s="10">
        <v>2014</v>
      </c>
      <c r="B562" s="11" t="s">
        <v>483</v>
      </c>
      <c r="C562" s="11" t="s">
        <v>484</v>
      </c>
      <c r="D562" s="12">
        <v>1015042</v>
      </c>
      <c r="E562" s="12">
        <v>2</v>
      </c>
      <c r="F562" s="12"/>
      <c r="G562" s="12">
        <v>520</v>
      </c>
      <c r="H562" s="12" t="s">
        <v>83</v>
      </c>
      <c r="I562" s="12"/>
      <c r="J562" s="12" t="s">
        <v>390</v>
      </c>
      <c r="K562" s="12" t="b">
        <v>1</v>
      </c>
      <c r="L562" s="12">
        <v>3</v>
      </c>
      <c r="M562" s="8">
        <v>2017</v>
      </c>
      <c r="N562" s="9">
        <v>8.3699999999999997E-2</v>
      </c>
      <c r="O562" s="13">
        <v>41815</v>
      </c>
      <c r="P562" s="13">
        <v>41815</v>
      </c>
    </row>
    <row r="563" spans="1:16">
      <c r="A563" s="10">
        <v>2014</v>
      </c>
      <c r="B563" s="11" t="s">
        <v>483</v>
      </c>
      <c r="C563" s="11" t="s">
        <v>484</v>
      </c>
      <c r="D563" s="12">
        <v>1015042</v>
      </c>
      <c r="E563" s="12">
        <v>2</v>
      </c>
      <c r="F563" s="12"/>
      <c r="G563" s="12">
        <v>520</v>
      </c>
      <c r="H563" s="12" t="s">
        <v>83</v>
      </c>
      <c r="I563" s="12"/>
      <c r="J563" s="12" t="s">
        <v>390</v>
      </c>
      <c r="K563" s="12" t="b">
        <v>1</v>
      </c>
      <c r="L563" s="12">
        <v>0</v>
      </c>
      <c r="M563" s="8">
        <v>2014</v>
      </c>
      <c r="N563" s="9">
        <v>9.9099999999999994E-2</v>
      </c>
      <c r="O563" s="13">
        <v>41815</v>
      </c>
      <c r="P563" s="13">
        <v>41815</v>
      </c>
    </row>
    <row r="564" spans="1:16">
      <c r="A564" s="10">
        <v>2014</v>
      </c>
      <c r="B564" s="11" t="s">
        <v>483</v>
      </c>
      <c r="C564" s="11" t="s">
        <v>484</v>
      </c>
      <c r="D564" s="12">
        <v>1015042</v>
      </c>
      <c r="E564" s="12">
        <v>2</v>
      </c>
      <c r="F564" s="12"/>
      <c r="G564" s="12">
        <v>520</v>
      </c>
      <c r="H564" s="12" t="s">
        <v>83</v>
      </c>
      <c r="I564" s="12"/>
      <c r="J564" s="12" t="s">
        <v>390</v>
      </c>
      <c r="K564" s="12" t="b">
        <v>1</v>
      </c>
      <c r="L564" s="12">
        <v>1</v>
      </c>
      <c r="M564" s="8">
        <v>2015</v>
      </c>
      <c r="N564" s="9">
        <v>9.2700000000000005E-2</v>
      </c>
      <c r="O564" s="13">
        <v>41815</v>
      </c>
      <c r="P564" s="13">
        <v>41815</v>
      </c>
    </row>
    <row r="565" spans="1:16">
      <c r="A565" s="10">
        <v>2014</v>
      </c>
      <c r="B565" s="11" t="s">
        <v>483</v>
      </c>
      <c r="C565" s="11" t="s">
        <v>484</v>
      </c>
      <c r="D565" s="12">
        <v>1015042</v>
      </c>
      <c r="E565" s="12">
        <v>2</v>
      </c>
      <c r="F565" s="12"/>
      <c r="G565" s="12">
        <v>520</v>
      </c>
      <c r="H565" s="12" t="s">
        <v>83</v>
      </c>
      <c r="I565" s="12"/>
      <c r="J565" s="12" t="s">
        <v>390</v>
      </c>
      <c r="K565" s="12" t="b">
        <v>1</v>
      </c>
      <c r="L565" s="12">
        <v>5</v>
      </c>
      <c r="M565" s="8">
        <v>2019</v>
      </c>
      <c r="N565" s="9">
        <v>9.5000000000000001E-2</v>
      </c>
      <c r="O565" s="13">
        <v>41815</v>
      </c>
      <c r="P565" s="13">
        <v>41815</v>
      </c>
    </row>
    <row r="566" spans="1:16">
      <c r="A566" s="10">
        <v>2014</v>
      </c>
      <c r="B566" s="11" t="s">
        <v>483</v>
      </c>
      <c r="C566" s="11" t="s">
        <v>484</v>
      </c>
      <c r="D566" s="12">
        <v>1015042</v>
      </c>
      <c r="E566" s="12">
        <v>2</v>
      </c>
      <c r="F566" s="12"/>
      <c r="G566" s="12">
        <v>520</v>
      </c>
      <c r="H566" s="12" t="s">
        <v>83</v>
      </c>
      <c r="I566" s="12"/>
      <c r="J566" s="12" t="s">
        <v>390</v>
      </c>
      <c r="K566" s="12" t="b">
        <v>1</v>
      </c>
      <c r="L566" s="12">
        <v>4</v>
      </c>
      <c r="M566" s="8">
        <v>2018</v>
      </c>
      <c r="N566" s="9">
        <v>9.8199999999999996E-2</v>
      </c>
      <c r="O566" s="13">
        <v>41815</v>
      </c>
      <c r="P566" s="13">
        <v>41815</v>
      </c>
    </row>
    <row r="567" spans="1:16">
      <c r="A567" s="10">
        <v>2014</v>
      </c>
      <c r="B567" s="11" t="s">
        <v>483</v>
      </c>
      <c r="C567" s="11" t="s">
        <v>484</v>
      </c>
      <c r="D567" s="12">
        <v>1015042</v>
      </c>
      <c r="E567" s="12">
        <v>2</v>
      </c>
      <c r="F567" s="12"/>
      <c r="G567" s="12">
        <v>520</v>
      </c>
      <c r="H567" s="12" t="s">
        <v>83</v>
      </c>
      <c r="I567" s="12"/>
      <c r="J567" s="12" t="s">
        <v>390</v>
      </c>
      <c r="K567" s="12" t="b">
        <v>1</v>
      </c>
      <c r="L567" s="12">
        <v>7</v>
      </c>
      <c r="M567" s="8">
        <v>2021</v>
      </c>
      <c r="N567" s="9">
        <v>8.9700000000000002E-2</v>
      </c>
      <c r="O567" s="13">
        <v>41815</v>
      </c>
      <c r="P567" s="13">
        <v>41815</v>
      </c>
    </row>
    <row r="568" spans="1:16">
      <c r="A568" s="10">
        <v>2014</v>
      </c>
      <c r="B568" s="11" t="s">
        <v>483</v>
      </c>
      <c r="C568" s="11" t="s">
        <v>484</v>
      </c>
      <c r="D568" s="12">
        <v>1015042</v>
      </c>
      <c r="E568" s="12">
        <v>2</v>
      </c>
      <c r="F568" s="12"/>
      <c r="G568" s="12">
        <v>520</v>
      </c>
      <c r="H568" s="12" t="s">
        <v>83</v>
      </c>
      <c r="I568" s="12"/>
      <c r="J568" s="12" t="s">
        <v>390</v>
      </c>
      <c r="K568" s="12" t="b">
        <v>1</v>
      </c>
      <c r="L568" s="12">
        <v>2</v>
      </c>
      <c r="M568" s="8">
        <v>2016</v>
      </c>
      <c r="N568" s="9">
        <v>8.6900000000000005E-2</v>
      </c>
      <c r="O568" s="13">
        <v>41815</v>
      </c>
      <c r="P568" s="13">
        <v>41815</v>
      </c>
    </row>
    <row r="569" spans="1:16">
      <c r="A569" s="10">
        <v>2014</v>
      </c>
      <c r="B569" s="11" t="s">
        <v>483</v>
      </c>
      <c r="C569" s="11" t="s">
        <v>484</v>
      </c>
      <c r="D569" s="12">
        <v>1015042</v>
      </c>
      <c r="E569" s="12">
        <v>2</v>
      </c>
      <c r="F569" s="12"/>
      <c r="G569" s="12">
        <v>440</v>
      </c>
      <c r="H569" s="12">
        <v>9</v>
      </c>
      <c r="I569" s="12"/>
      <c r="J569" s="12" t="s">
        <v>149</v>
      </c>
      <c r="K569" s="12" t="b">
        <v>0</v>
      </c>
      <c r="L569" s="12">
        <v>2</v>
      </c>
      <c r="M569" s="8">
        <v>2016</v>
      </c>
      <c r="N569" s="9">
        <v>0</v>
      </c>
      <c r="O569" s="13">
        <v>41815</v>
      </c>
      <c r="P569" s="13">
        <v>41815</v>
      </c>
    </row>
    <row r="570" spans="1:16">
      <c r="A570" s="10">
        <v>2014</v>
      </c>
      <c r="B570" s="11" t="s">
        <v>483</v>
      </c>
      <c r="C570" s="11" t="s">
        <v>484</v>
      </c>
      <c r="D570" s="12">
        <v>1015042</v>
      </c>
      <c r="E570" s="12">
        <v>2</v>
      </c>
      <c r="F570" s="12"/>
      <c r="G570" s="12">
        <v>940</v>
      </c>
      <c r="H570" s="12">
        <v>14.4</v>
      </c>
      <c r="I570" s="12"/>
      <c r="J570" s="12" t="s">
        <v>135</v>
      </c>
      <c r="K570" s="12" t="b">
        <v>1</v>
      </c>
      <c r="L570" s="12">
        <v>8</v>
      </c>
      <c r="M570" s="8">
        <v>2022</v>
      </c>
      <c r="N570" s="9">
        <v>0</v>
      </c>
      <c r="O570" s="13">
        <v>41815</v>
      </c>
      <c r="P570" s="13">
        <v>41815</v>
      </c>
    </row>
    <row r="571" spans="1:16">
      <c r="A571" s="10">
        <v>2014</v>
      </c>
      <c r="B571" s="11" t="s">
        <v>483</v>
      </c>
      <c r="C571" s="11" t="s">
        <v>484</v>
      </c>
      <c r="D571" s="12">
        <v>1015042</v>
      </c>
      <c r="E571" s="12">
        <v>2</v>
      </c>
      <c r="F571" s="12"/>
      <c r="G571" s="12">
        <v>520</v>
      </c>
      <c r="H571" s="12" t="s">
        <v>83</v>
      </c>
      <c r="I571" s="12"/>
      <c r="J571" s="12" t="s">
        <v>390</v>
      </c>
      <c r="K571" s="12" t="b">
        <v>1</v>
      </c>
      <c r="L571" s="12">
        <v>6</v>
      </c>
      <c r="M571" s="8">
        <v>2020</v>
      </c>
      <c r="N571" s="9">
        <v>8.8499999999999995E-2</v>
      </c>
      <c r="O571" s="13">
        <v>41815</v>
      </c>
      <c r="P571" s="13">
        <v>41815</v>
      </c>
    </row>
    <row r="572" spans="1:16">
      <c r="A572" s="10">
        <v>2014</v>
      </c>
      <c r="B572" s="11" t="s">
        <v>483</v>
      </c>
      <c r="C572" s="11" t="s">
        <v>484</v>
      </c>
      <c r="D572" s="12">
        <v>1015042</v>
      </c>
      <c r="E572" s="12">
        <v>2</v>
      </c>
      <c r="F572" s="12"/>
      <c r="G572" s="12">
        <v>520</v>
      </c>
      <c r="H572" s="12" t="s">
        <v>83</v>
      </c>
      <c r="I572" s="12"/>
      <c r="J572" s="12" t="s">
        <v>390</v>
      </c>
      <c r="K572" s="12" t="b">
        <v>1</v>
      </c>
      <c r="L572" s="12">
        <v>8</v>
      </c>
      <c r="M572" s="8">
        <v>2022</v>
      </c>
      <c r="N572" s="9">
        <v>9.1700000000000004E-2</v>
      </c>
      <c r="O572" s="13">
        <v>41815</v>
      </c>
      <c r="P572" s="13">
        <v>41815</v>
      </c>
    </row>
    <row r="573" spans="1:16">
      <c r="A573" s="10">
        <v>2014</v>
      </c>
      <c r="B573" s="11" t="s">
        <v>483</v>
      </c>
      <c r="C573" s="11" t="s">
        <v>484</v>
      </c>
      <c r="D573" s="12">
        <v>1015042</v>
      </c>
      <c r="E573" s="12">
        <v>2</v>
      </c>
      <c r="F573" s="12"/>
      <c r="G573" s="12">
        <v>490</v>
      </c>
      <c r="H573" s="12">
        <v>9.3000000000000007</v>
      </c>
      <c r="I573" s="12"/>
      <c r="J573" s="12" t="s">
        <v>383</v>
      </c>
      <c r="K573" s="12" t="b">
        <v>1</v>
      </c>
      <c r="L573" s="12">
        <v>7</v>
      </c>
      <c r="M573" s="8">
        <v>2021</v>
      </c>
      <c r="N573" s="9">
        <v>0</v>
      </c>
      <c r="O573" s="13">
        <v>41815</v>
      </c>
      <c r="P573" s="13">
        <v>41815</v>
      </c>
    </row>
    <row r="574" spans="1:16">
      <c r="A574" s="10">
        <v>2014</v>
      </c>
      <c r="B574" s="11" t="s">
        <v>483</v>
      </c>
      <c r="C574" s="11" t="s">
        <v>484</v>
      </c>
      <c r="D574" s="12">
        <v>1015042</v>
      </c>
      <c r="E574" s="12">
        <v>2</v>
      </c>
      <c r="F574" s="12"/>
      <c r="G574" s="12">
        <v>490</v>
      </c>
      <c r="H574" s="12">
        <v>9.3000000000000007</v>
      </c>
      <c r="I574" s="12"/>
      <c r="J574" s="12" t="s">
        <v>383</v>
      </c>
      <c r="K574" s="12" t="b">
        <v>1</v>
      </c>
      <c r="L574" s="12">
        <v>5</v>
      </c>
      <c r="M574" s="8">
        <v>2019</v>
      </c>
      <c r="N574" s="9">
        <v>0</v>
      </c>
      <c r="O574" s="13">
        <v>41815</v>
      </c>
      <c r="P574" s="13">
        <v>41815</v>
      </c>
    </row>
    <row r="575" spans="1:16">
      <c r="A575" s="10">
        <v>2014</v>
      </c>
      <c r="B575" s="11" t="s">
        <v>483</v>
      </c>
      <c r="C575" s="11" t="s">
        <v>484</v>
      </c>
      <c r="D575" s="12">
        <v>1015042</v>
      </c>
      <c r="E575" s="12">
        <v>2</v>
      </c>
      <c r="F575" s="12"/>
      <c r="G575" s="12">
        <v>490</v>
      </c>
      <c r="H575" s="12">
        <v>9.3000000000000007</v>
      </c>
      <c r="I575" s="12"/>
      <c r="J575" s="12" t="s">
        <v>383</v>
      </c>
      <c r="K575" s="12" t="b">
        <v>1</v>
      </c>
      <c r="L575" s="12">
        <v>1</v>
      </c>
      <c r="M575" s="8">
        <v>2015</v>
      </c>
      <c r="N575" s="9">
        <v>0</v>
      </c>
      <c r="O575" s="13">
        <v>41815</v>
      </c>
      <c r="P575" s="13">
        <v>41815</v>
      </c>
    </row>
    <row r="576" spans="1:16">
      <c r="A576" s="10">
        <v>2014</v>
      </c>
      <c r="B576" s="11" t="s">
        <v>483</v>
      </c>
      <c r="C576" s="11" t="s">
        <v>484</v>
      </c>
      <c r="D576" s="12">
        <v>1015042</v>
      </c>
      <c r="E576" s="12">
        <v>2</v>
      </c>
      <c r="F576" s="12"/>
      <c r="G576" s="12">
        <v>490</v>
      </c>
      <c r="H576" s="12">
        <v>9.3000000000000007</v>
      </c>
      <c r="I576" s="12"/>
      <c r="J576" s="12" t="s">
        <v>383</v>
      </c>
      <c r="K576" s="12" t="b">
        <v>1</v>
      </c>
      <c r="L576" s="12">
        <v>6</v>
      </c>
      <c r="M576" s="8">
        <v>2020</v>
      </c>
      <c r="N576" s="9">
        <v>0</v>
      </c>
      <c r="O576" s="13">
        <v>41815</v>
      </c>
      <c r="P576" s="13">
        <v>41815</v>
      </c>
    </row>
    <row r="577" spans="1:16">
      <c r="A577" s="10">
        <v>2014</v>
      </c>
      <c r="B577" s="11" t="s">
        <v>483</v>
      </c>
      <c r="C577" s="11" t="s">
        <v>484</v>
      </c>
      <c r="D577" s="12">
        <v>1015042</v>
      </c>
      <c r="E577" s="12">
        <v>2</v>
      </c>
      <c r="F577" s="12"/>
      <c r="G577" s="12">
        <v>490</v>
      </c>
      <c r="H577" s="12">
        <v>9.3000000000000007</v>
      </c>
      <c r="I577" s="12"/>
      <c r="J577" s="12" t="s">
        <v>383</v>
      </c>
      <c r="K577" s="12" t="b">
        <v>1</v>
      </c>
      <c r="L577" s="12">
        <v>2</v>
      </c>
      <c r="M577" s="8">
        <v>2016</v>
      </c>
      <c r="N577" s="9">
        <v>0</v>
      </c>
      <c r="O577" s="13">
        <v>41815</v>
      </c>
      <c r="P577" s="13">
        <v>41815</v>
      </c>
    </row>
    <row r="578" spans="1:16">
      <c r="A578" s="10">
        <v>2014</v>
      </c>
      <c r="B578" s="11" t="s">
        <v>483</v>
      </c>
      <c r="C578" s="11" t="s">
        <v>484</v>
      </c>
      <c r="D578" s="12">
        <v>1015042</v>
      </c>
      <c r="E578" s="12">
        <v>2</v>
      </c>
      <c r="F578" s="12"/>
      <c r="G578" s="12">
        <v>490</v>
      </c>
      <c r="H578" s="12">
        <v>9.3000000000000007</v>
      </c>
      <c r="I578" s="12"/>
      <c r="J578" s="12" t="s">
        <v>383</v>
      </c>
      <c r="K578" s="12" t="b">
        <v>1</v>
      </c>
      <c r="L578" s="12">
        <v>8</v>
      </c>
      <c r="M578" s="8">
        <v>2022</v>
      </c>
      <c r="N578" s="9">
        <v>0</v>
      </c>
      <c r="O578" s="13">
        <v>41815</v>
      </c>
      <c r="P578" s="13">
        <v>41815</v>
      </c>
    </row>
    <row r="579" spans="1:16">
      <c r="A579" s="10">
        <v>2014</v>
      </c>
      <c r="B579" s="11" t="s">
        <v>483</v>
      </c>
      <c r="C579" s="11" t="s">
        <v>484</v>
      </c>
      <c r="D579" s="12">
        <v>1015042</v>
      </c>
      <c r="E579" s="12">
        <v>2</v>
      </c>
      <c r="F579" s="12"/>
      <c r="G579" s="12">
        <v>490</v>
      </c>
      <c r="H579" s="12">
        <v>9.3000000000000007</v>
      </c>
      <c r="I579" s="12"/>
      <c r="J579" s="12" t="s">
        <v>383</v>
      </c>
      <c r="K579" s="12" t="b">
        <v>1</v>
      </c>
      <c r="L579" s="12">
        <v>3</v>
      </c>
      <c r="M579" s="8">
        <v>2017</v>
      </c>
      <c r="N579" s="9">
        <v>0</v>
      </c>
      <c r="O579" s="13">
        <v>41815</v>
      </c>
      <c r="P579" s="13">
        <v>41815</v>
      </c>
    </row>
    <row r="580" spans="1:16">
      <c r="A580" s="10">
        <v>2014</v>
      </c>
      <c r="B580" s="11" t="s">
        <v>483</v>
      </c>
      <c r="C580" s="11" t="s">
        <v>484</v>
      </c>
      <c r="D580" s="12">
        <v>1015042</v>
      </c>
      <c r="E580" s="12">
        <v>2</v>
      </c>
      <c r="F580" s="12"/>
      <c r="G580" s="12">
        <v>490</v>
      </c>
      <c r="H580" s="12">
        <v>9.3000000000000007</v>
      </c>
      <c r="I580" s="12"/>
      <c r="J580" s="12" t="s">
        <v>383</v>
      </c>
      <c r="K580" s="12" t="b">
        <v>1</v>
      </c>
      <c r="L580" s="12">
        <v>0</v>
      </c>
      <c r="M580" s="8">
        <v>2014</v>
      </c>
      <c r="N580" s="9">
        <v>0</v>
      </c>
      <c r="O580" s="13">
        <v>41815</v>
      </c>
      <c r="P580" s="13">
        <v>41815</v>
      </c>
    </row>
    <row r="581" spans="1:16">
      <c r="A581" s="10">
        <v>2014</v>
      </c>
      <c r="B581" s="11" t="s">
        <v>483</v>
      </c>
      <c r="C581" s="11" t="s">
        <v>484</v>
      </c>
      <c r="D581" s="12">
        <v>1015042</v>
      </c>
      <c r="E581" s="12">
        <v>2</v>
      </c>
      <c r="F581" s="12"/>
      <c r="G581" s="12">
        <v>490</v>
      </c>
      <c r="H581" s="12">
        <v>9.3000000000000007</v>
      </c>
      <c r="I581" s="12"/>
      <c r="J581" s="12" t="s">
        <v>383</v>
      </c>
      <c r="K581" s="12" t="b">
        <v>1</v>
      </c>
      <c r="L581" s="12">
        <v>4</v>
      </c>
      <c r="M581" s="8">
        <v>2018</v>
      </c>
      <c r="N581" s="9">
        <v>0</v>
      </c>
      <c r="O581" s="13">
        <v>41815</v>
      </c>
      <c r="P581" s="13">
        <v>41815</v>
      </c>
    </row>
    <row r="582" spans="1:16">
      <c r="A582" s="10">
        <v>2014</v>
      </c>
      <c r="B582" s="11" t="s">
        <v>483</v>
      </c>
      <c r="C582" s="11" t="s">
        <v>484</v>
      </c>
      <c r="D582" s="12">
        <v>1015042</v>
      </c>
      <c r="E582" s="12">
        <v>2</v>
      </c>
      <c r="F582" s="12"/>
      <c r="G582" s="12">
        <v>720</v>
      </c>
      <c r="H582" s="12" t="s">
        <v>106</v>
      </c>
      <c r="I582" s="12"/>
      <c r="J582" s="12" t="s">
        <v>107</v>
      </c>
      <c r="K582" s="12" t="b">
        <v>0</v>
      </c>
      <c r="L582" s="12">
        <v>8</v>
      </c>
      <c r="M582" s="8">
        <v>2022</v>
      </c>
      <c r="N582" s="9">
        <v>0</v>
      </c>
      <c r="O582" s="13">
        <v>41815</v>
      </c>
      <c r="P582" s="13">
        <v>41815</v>
      </c>
    </row>
    <row r="583" spans="1:16">
      <c r="A583" s="10">
        <v>2014</v>
      </c>
      <c r="B583" s="11" t="s">
        <v>483</v>
      </c>
      <c r="C583" s="11" t="s">
        <v>484</v>
      </c>
      <c r="D583" s="12">
        <v>1015042</v>
      </c>
      <c r="E583" s="12">
        <v>2</v>
      </c>
      <c r="F583" s="12"/>
      <c r="G583" s="12">
        <v>720</v>
      </c>
      <c r="H583" s="12" t="s">
        <v>106</v>
      </c>
      <c r="I583" s="12"/>
      <c r="J583" s="12" t="s">
        <v>107</v>
      </c>
      <c r="K583" s="12" t="b">
        <v>0</v>
      </c>
      <c r="L583" s="12">
        <v>4</v>
      </c>
      <c r="M583" s="8">
        <v>2018</v>
      </c>
      <c r="N583" s="9">
        <v>0</v>
      </c>
      <c r="O583" s="13">
        <v>41815</v>
      </c>
      <c r="P583" s="13">
        <v>41815</v>
      </c>
    </row>
    <row r="584" spans="1:16">
      <c r="A584" s="10">
        <v>2014</v>
      </c>
      <c r="B584" s="11" t="s">
        <v>483</v>
      </c>
      <c r="C584" s="11" t="s">
        <v>484</v>
      </c>
      <c r="D584" s="12">
        <v>1015042</v>
      </c>
      <c r="E584" s="12">
        <v>2</v>
      </c>
      <c r="F584" s="12"/>
      <c r="G584" s="12">
        <v>720</v>
      </c>
      <c r="H584" s="12" t="s">
        <v>106</v>
      </c>
      <c r="I584" s="12"/>
      <c r="J584" s="12" t="s">
        <v>107</v>
      </c>
      <c r="K584" s="12" t="b">
        <v>0</v>
      </c>
      <c r="L584" s="12">
        <v>0</v>
      </c>
      <c r="M584" s="8">
        <v>2014</v>
      </c>
      <c r="N584" s="9">
        <v>1095933.3500000001</v>
      </c>
      <c r="O584" s="13">
        <v>41815</v>
      </c>
      <c r="P584" s="13">
        <v>41815</v>
      </c>
    </row>
    <row r="585" spans="1:16">
      <c r="A585" s="10">
        <v>2014</v>
      </c>
      <c r="B585" s="11" t="s">
        <v>483</v>
      </c>
      <c r="C585" s="11" t="s">
        <v>484</v>
      </c>
      <c r="D585" s="12">
        <v>1015042</v>
      </c>
      <c r="E585" s="12">
        <v>2</v>
      </c>
      <c r="F585" s="12"/>
      <c r="G585" s="12">
        <v>720</v>
      </c>
      <c r="H585" s="12" t="s">
        <v>106</v>
      </c>
      <c r="I585" s="12"/>
      <c r="J585" s="12" t="s">
        <v>107</v>
      </c>
      <c r="K585" s="12" t="b">
        <v>0</v>
      </c>
      <c r="L585" s="12">
        <v>3</v>
      </c>
      <c r="M585" s="8">
        <v>2017</v>
      </c>
      <c r="N585" s="9">
        <v>0</v>
      </c>
      <c r="O585" s="13">
        <v>41815</v>
      </c>
      <c r="P585" s="13">
        <v>41815</v>
      </c>
    </row>
    <row r="586" spans="1:16">
      <c r="A586" s="10">
        <v>2014</v>
      </c>
      <c r="B586" s="11" t="s">
        <v>483</v>
      </c>
      <c r="C586" s="11" t="s">
        <v>484</v>
      </c>
      <c r="D586" s="12">
        <v>1015042</v>
      </c>
      <c r="E586" s="12">
        <v>2</v>
      </c>
      <c r="F586" s="12"/>
      <c r="G586" s="12">
        <v>720</v>
      </c>
      <c r="H586" s="12" t="s">
        <v>106</v>
      </c>
      <c r="I586" s="12"/>
      <c r="J586" s="12" t="s">
        <v>107</v>
      </c>
      <c r="K586" s="12" t="b">
        <v>0</v>
      </c>
      <c r="L586" s="12">
        <v>5</v>
      </c>
      <c r="M586" s="8">
        <v>2019</v>
      </c>
      <c r="N586" s="9">
        <v>0</v>
      </c>
      <c r="O586" s="13">
        <v>41815</v>
      </c>
      <c r="P586" s="13">
        <v>41815</v>
      </c>
    </row>
    <row r="587" spans="1:16">
      <c r="A587" s="10">
        <v>2014</v>
      </c>
      <c r="B587" s="11" t="s">
        <v>483</v>
      </c>
      <c r="C587" s="11" t="s">
        <v>484</v>
      </c>
      <c r="D587" s="12">
        <v>1015042</v>
      </c>
      <c r="E587" s="12">
        <v>2</v>
      </c>
      <c r="F587" s="12"/>
      <c r="G587" s="12">
        <v>720</v>
      </c>
      <c r="H587" s="12" t="s">
        <v>106</v>
      </c>
      <c r="I587" s="12"/>
      <c r="J587" s="12" t="s">
        <v>107</v>
      </c>
      <c r="K587" s="12" t="b">
        <v>0</v>
      </c>
      <c r="L587" s="12">
        <v>1</v>
      </c>
      <c r="M587" s="8">
        <v>2015</v>
      </c>
      <c r="N587" s="9">
        <v>0</v>
      </c>
      <c r="O587" s="13">
        <v>41815</v>
      </c>
      <c r="P587" s="13">
        <v>41815</v>
      </c>
    </row>
    <row r="588" spans="1:16">
      <c r="A588" s="10">
        <v>2014</v>
      </c>
      <c r="B588" s="11" t="s">
        <v>483</v>
      </c>
      <c r="C588" s="11" t="s">
        <v>484</v>
      </c>
      <c r="D588" s="12">
        <v>1015042</v>
      </c>
      <c r="E588" s="12">
        <v>2</v>
      </c>
      <c r="F588" s="12"/>
      <c r="G588" s="12">
        <v>720</v>
      </c>
      <c r="H588" s="12" t="s">
        <v>106</v>
      </c>
      <c r="I588" s="12"/>
      <c r="J588" s="12" t="s">
        <v>107</v>
      </c>
      <c r="K588" s="12" t="b">
        <v>0</v>
      </c>
      <c r="L588" s="12">
        <v>2</v>
      </c>
      <c r="M588" s="8">
        <v>2016</v>
      </c>
      <c r="N588" s="9">
        <v>0</v>
      </c>
      <c r="O588" s="13">
        <v>41815</v>
      </c>
      <c r="P588" s="13">
        <v>41815</v>
      </c>
    </row>
    <row r="589" spans="1:16">
      <c r="A589" s="10">
        <v>2014</v>
      </c>
      <c r="B589" s="11" t="s">
        <v>483</v>
      </c>
      <c r="C589" s="11" t="s">
        <v>484</v>
      </c>
      <c r="D589" s="12">
        <v>1015042</v>
      </c>
      <c r="E589" s="12">
        <v>2</v>
      </c>
      <c r="F589" s="12"/>
      <c r="G589" s="12">
        <v>720</v>
      </c>
      <c r="H589" s="12" t="s">
        <v>106</v>
      </c>
      <c r="I589" s="12"/>
      <c r="J589" s="12" t="s">
        <v>107</v>
      </c>
      <c r="K589" s="12" t="b">
        <v>0</v>
      </c>
      <c r="L589" s="12">
        <v>7</v>
      </c>
      <c r="M589" s="8">
        <v>2021</v>
      </c>
      <c r="N589" s="9">
        <v>0</v>
      </c>
      <c r="O589" s="13">
        <v>41815</v>
      </c>
      <c r="P589" s="13">
        <v>41815</v>
      </c>
    </row>
    <row r="590" spans="1:16">
      <c r="A590" s="10">
        <v>2014</v>
      </c>
      <c r="B590" s="11" t="s">
        <v>483</v>
      </c>
      <c r="C590" s="11" t="s">
        <v>484</v>
      </c>
      <c r="D590" s="12">
        <v>1015042</v>
      </c>
      <c r="E590" s="12">
        <v>2</v>
      </c>
      <c r="F590" s="12"/>
      <c r="G590" s="12">
        <v>720</v>
      </c>
      <c r="H590" s="12" t="s">
        <v>106</v>
      </c>
      <c r="I590" s="12"/>
      <c r="J590" s="12" t="s">
        <v>107</v>
      </c>
      <c r="K590" s="12" t="b">
        <v>0</v>
      </c>
      <c r="L590" s="12">
        <v>6</v>
      </c>
      <c r="M590" s="8">
        <v>2020</v>
      </c>
      <c r="N590" s="9">
        <v>0</v>
      </c>
      <c r="O590" s="13">
        <v>41815</v>
      </c>
      <c r="P590" s="13">
        <v>41815</v>
      </c>
    </row>
    <row r="591" spans="1:16">
      <c r="A591" s="10">
        <v>2014</v>
      </c>
      <c r="B591" s="11" t="s">
        <v>483</v>
      </c>
      <c r="C591" s="11" t="s">
        <v>484</v>
      </c>
      <c r="D591" s="12">
        <v>1015042</v>
      </c>
      <c r="E591" s="12">
        <v>2</v>
      </c>
      <c r="F591" s="12"/>
      <c r="G591" s="12">
        <v>334</v>
      </c>
      <c r="H591" s="12" t="s">
        <v>372</v>
      </c>
      <c r="I591" s="12"/>
      <c r="J591" s="12" t="s">
        <v>373</v>
      </c>
      <c r="K591" s="12" t="b">
        <v>1</v>
      </c>
      <c r="L591" s="12">
        <v>8</v>
      </c>
      <c r="M591" s="8">
        <v>2022</v>
      </c>
      <c r="N591" s="9">
        <v>0</v>
      </c>
      <c r="O591" s="13">
        <v>41815</v>
      </c>
      <c r="P591" s="13">
        <v>41815</v>
      </c>
    </row>
    <row r="592" spans="1:16">
      <c r="A592" s="10">
        <v>2014</v>
      </c>
      <c r="B592" s="11" t="s">
        <v>483</v>
      </c>
      <c r="C592" s="11" t="s">
        <v>484</v>
      </c>
      <c r="D592" s="12">
        <v>1015042</v>
      </c>
      <c r="E592" s="12">
        <v>2</v>
      </c>
      <c r="F592" s="12"/>
      <c r="G592" s="12">
        <v>334</v>
      </c>
      <c r="H592" s="12" t="s">
        <v>372</v>
      </c>
      <c r="I592" s="12"/>
      <c r="J592" s="12" t="s">
        <v>373</v>
      </c>
      <c r="K592" s="12" t="b">
        <v>1</v>
      </c>
      <c r="L592" s="12">
        <v>2</v>
      </c>
      <c r="M592" s="8">
        <v>2016</v>
      </c>
      <c r="N592" s="9">
        <v>0</v>
      </c>
      <c r="O592" s="13">
        <v>41815</v>
      </c>
      <c r="P592" s="13">
        <v>41815</v>
      </c>
    </row>
    <row r="593" spans="1:16">
      <c r="A593" s="10">
        <v>2014</v>
      </c>
      <c r="B593" s="11" t="s">
        <v>483</v>
      </c>
      <c r="C593" s="11" t="s">
        <v>484</v>
      </c>
      <c r="D593" s="12">
        <v>1015042</v>
      </c>
      <c r="E593" s="12">
        <v>2</v>
      </c>
      <c r="F593" s="12"/>
      <c r="G593" s="12">
        <v>334</v>
      </c>
      <c r="H593" s="12" t="s">
        <v>372</v>
      </c>
      <c r="I593" s="12"/>
      <c r="J593" s="12" t="s">
        <v>373</v>
      </c>
      <c r="K593" s="12" t="b">
        <v>1</v>
      </c>
      <c r="L593" s="12">
        <v>3</v>
      </c>
      <c r="M593" s="8">
        <v>2017</v>
      </c>
      <c r="N593" s="9">
        <v>0</v>
      </c>
      <c r="O593" s="13">
        <v>41815</v>
      </c>
      <c r="P593" s="13">
        <v>41815</v>
      </c>
    </row>
    <row r="594" spans="1:16">
      <c r="A594" s="10">
        <v>2014</v>
      </c>
      <c r="B594" s="11" t="s">
        <v>483</v>
      </c>
      <c r="C594" s="11" t="s">
        <v>484</v>
      </c>
      <c r="D594" s="12">
        <v>1015042</v>
      </c>
      <c r="E594" s="12">
        <v>2</v>
      </c>
      <c r="F594" s="12"/>
      <c r="G594" s="12">
        <v>334</v>
      </c>
      <c r="H594" s="12" t="s">
        <v>372</v>
      </c>
      <c r="I594" s="12"/>
      <c r="J594" s="12" t="s">
        <v>373</v>
      </c>
      <c r="K594" s="12" t="b">
        <v>1</v>
      </c>
      <c r="L594" s="12">
        <v>1</v>
      </c>
      <c r="M594" s="8">
        <v>2015</v>
      </c>
      <c r="N594" s="9">
        <v>0</v>
      </c>
      <c r="O594" s="13">
        <v>41815</v>
      </c>
      <c r="P594" s="13">
        <v>41815</v>
      </c>
    </row>
    <row r="595" spans="1:16">
      <c r="A595" s="10">
        <v>2014</v>
      </c>
      <c r="B595" s="11" t="s">
        <v>483</v>
      </c>
      <c r="C595" s="11" t="s">
        <v>484</v>
      </c>
      <c r="D595" s="12">
        <v>1015042</v>
      </c>
      <c r="E595" s="12">
        <v>2</v>
      </c>
      <c r="F595" s="12"/>
      <c r="G595" s="12">
        <v>334</v>
      </c>
      <c r="H595" s="12" t="s">
        <v>372</v>
      </c>
      <c r="I595" s="12"/>
      <c r="J595" s="12" t="s">
        <v>373</v>
      </c>
      <c r="K595" s="12" t="b">
        <v>1</v>
      </c>
      <c r="L595" s="12">
        <v>6</v>
      </c>
      <c r="M595" s="8">
        <v>2020</v>
      </c>
      <c r="N595" s="9">
        <v>0</v>
      </c>
      <c r="O595" s="13">
        <v>41815</v>
      </c>
      <c r="P595" s="13">
        <v>41815</v>
      </c>
    </row>
    <row r="596" spans="1:16">
      <c r="A596" s="10">
        <v>2014</v>
      </c>
      <c r="B596" s="11" t="s">
        <v>483</v>
      </c>
      <c r="C596" s="11" t="s">
        <v>484</v>
      </c>
      <c r="D596" s="12">
        <v>1015042</v>
      </c>
      <c r="E596" s="12">
        <v>2</v>
      </c>
      <c r="F596" s="12"/>
      <c r="G596" s="12">
        <v>334</v>
      </c>
      <c r="H596" s="12" t="s">
        <v>372</v>
      </c>
      <c r="I596" s="12"/>
      <c r="J596" s="12" t="s">
        <v>373</v>
      </c>
      <c r="K596" s="12" t="b">
        <v>1</v>
      </c>
      <c r="L596" s="12">
        <v>0</v>
      </c>
      <c r="M596" s="8">
        <v>2014</v>
      </c>
      <c r="N596" s="9">
        <v>0</v>
      </c>
      <c r="O596" s="13">
        <v>41815</v>
      </c>
      <c r="P596" s="13">
        <v>41815</v>
      </c>
    </row>
    <row r="597" spans="1:16">
      <c r="A597" s="10">
        <v>2014</v>
      </c>
      <c r="B597" s="11" t="s">
        <v>483</v>
      </c>
      <c r="C597" s="11" t="s">
        <v>484</v>
      </c>
      <c r="D597" s="12">
        <v>1015042</v>
      </c>
      <c r="E597" s="12">
        <v>2</v>
      </c>
      <c r="F597" s="12"/>
      <c r="G597" s="12">
        <v>334</v>
      </c>
      <c r="H597" s="12" t="s">
        <v>372</v>
      </c>
      <c r="I597" s="12"/>
      <c r="J597" s="12" t="s">
        <v>373</v>
      </c>
      <c r="K597" s="12" t="b">
        <v>1</v>
      </c>
      <c r="L597" s="12">
        <v>5</v>
      </c>
      <c r="M597" s="8">
        <v>2019</v>
      </c>
      <c r="N597" s="9">
        <v>0</v>
      </c>
      <c r="O597" s="13">
        <v>41815</v>
      </c>
      <c r="P597" s="13">
        <v>41815</v>
      </c>
    </row>
    <row r="598" spans="1:16">
      <c r="A598" s="10">
        <v>2014</v>
      </c>
      <c r="B598" s="11" t="s">
        <v>483</v>
      </c>
      <c r="C598" s="11" t="s">
        <v>484</v>
      </c>
      <c r="D598" s="12">
        <v>1015042</v>
      </c>
      <c r="E598" s="12">
        <v>2</v>
      </c>
      <c r="F598" s="12"/>
      <c r="G598" s="12">
        <v>334</v>
      </c>
      <c r="H598" s="12" t="s">
        <v>372</v>
      </c>
      <c r="I598" s="12"/>
      <c r="J598" s="12" t="s">
        <v>373</v>
      </c>
      <c r="K598" s="12" t="b">
        <v>1</v>
      </c>
      <c r="L598" s="12">
        <v>4</v>
      </c>
      <c r="M598" s="8">
        <v>2018</v>
      </c>
      <c r="N598" s="9">
        <v>0</v>
      </c>
      <c r="O598" s="13">
        <v>41815</v>
      </c>
      <c r="P598" s="13">
        <v>41815</v>
      </c>
    </row>
    <row r="599" spans="1:16">
      <c r="A599" s="10">
        <v>2014</v>
      </c>
      <c r="B599" s="11" t="s">
        <v>483</v>
      </c>
      <c r="C599" s="11" t="s">
        <v>484</v>
      </c>
      <c r="D599" s="12">
        <v>1015042</v>
      </c>
      <c r="E599" s="12">
        <v>2</v>
      </c>
      <c r="F599" s="12"/>
      <c r="G599" s="12">
        <v>334</v>
      </c>
      <c r="H599" s="12" t="s">
        <v>372</v>
      </c>
      <c r="I599" s="12"/>
      <c r="J599" s="12" t="s">
        <v>373</v>
      </c>
      <c r="K599" s="12" t="b">
        <v>1</v>
      </c>
      <c r="L599" s="12">
        <v>7</v>
      </c>
      <c r="M599" s="8">
        <v>2021</v>
      </c>
      <c r="N599" s="9">
        <v>0</v>
      </c>
      <c r="O599" s="13">
        <v>41815</v>
      </c>
      <c r="P599" s="13">
        <v>41815</v>
      </c>
    </row>
    <row r="600" spans="1:16">
      <c r="A600" s="10">
        <v>2014</v>
      </c>
      <c r="B600" s="11" t="s">
        <v>483</v>
      </c>
      <c r="C600" s="11" t="s">
        <v>484</v>
      </c>
      <c r="D600" s="12">
        <v>1015042</v>
      </c>
      <c r="E600" s="12">
        <v>2</v>
      </c>
      <c r="F600" s="12"/>
      <c r="G600" s="12">
        <v>640</v>
      </c>
      <c r="H600" s="12">
        <v>11.5</v>
      </c>
      <c r="I600" s="12"/>
      <c r="J600" s="12" t="s">
        <v>95</v>
      </c>
      <c r="K600" s="12" t="b">
        <v>1</v>
      </c>
      <c r="L600" s="12">
        <v>7</v>
      </c>
      <c r="M600" s="8">
        <v>2021</v>
      </c>
      <c r="N600" s="9">
        <v>0</v>
      </c>
      <c r="O600" s="13">
        <v>41815</v>
      </c>
      <c r="P600" s="13">
        <v>41815</v>
      </c>
    </row>
    <row r="601" spans="1:16">
      <c r="A601" s="10">
        <v>2014</v>
      </c>
      <c r="B601" s="11" t="s">
        <v>483</v>
      </c>
      <c r="C601" s="11" t="s">
        <v>484</v>
      </c>
      <c r="D601" s="12">
        <v>1015042</v>
      </c>
      <c r="E601" s="12">
        <v>2</v>
      </c>
      <c r="F601" s="12"/>
      <c r="G601" s="12">
        <v>640</v>
      </c>
      <c r="H601" s="12">
        <v>11.5</v>
      </c>
      <c r="I601" s="12"/>
      <c r="J601" s="12" t="s">
        <v>95</v>
      </c>
      <c r="K601" s="12" t="b">
        <v>1</v>
      </c>
      <c r="L601" s="12">
        <v>5</v>
      </c>
      <c r="M601" s="8">
        <v>2019</v>
      </c>
      <c r="N601" s="9">
        <v>0</v>
      </c>
      <c r="O601" s="13">
        <v>41815</v>
      </c>
      <c r="P601" s="13">
        <v>41815</v>
      </c>
    </row>
    <row r="602" spans="1:16">
      <c r="A602" s="10">
        <v>2014</v>
      </c>
      <c r="B602" s="11" t="s">
        <v>483</v>
      </c>
      <c r="C602" s="11" t="s">
        <v>484</v>
      </c>
      <c r="D602" s="12">
        <v>1015042</v>
      </c>
      <c r="E602" s="12">
        <v>2</v>
      </c>
      <c r="F602" s="12"/>
      <c r="G602" s="12">
        <v>640</v>
      </c>
      <c r="H602" s="12">
        <v>11.5</v>
      </c>
      <c r="I602" s="12"/>
      <c r="J602" s="12" t="s">
        <v>95</v>
      </c>
      <c r="K602" s="12" t="b">
        <v>1</v>
      </c>
      <c r="L602" s="12">
        <v>2</v>
      </c>
      <c r="M602" s="8">
        <v>2016</v>
      </c>
      <c r="N602" s="9">
        <v>0</v>
      </c>
      <c r="O602" s="13">
        <v>41815</v>
      </c>
      <c r="P602" s="13">
        <v>41815</v>
      </c>
    </row>
    <row r="603" spans="1:16">
      <c r="A603" s="10">
        <v>2014</v>
      </c>
      <c r="B603" s="11" t="s">
        <v>483</v>
      </c>
      <c r="C603" s="11" t="s">
        <v>484</v>
      </c>
      <c r="D603" s="12">
        <v>1015042</v>
      </c>
      <c r="E603" s="12">
        <v>2</v>
      </c>
      <c r="F603" s="12"/>
      <c r="G603" s="12">
        <v>640</v>
      </c>
      <c r="H603" s="12">
        <v>11.5</v>
      </c>
      <c r="I603" s="12"/>
      <c r="J603" s="12" t="s">
        <v>95</v>
      </c>
      <c r="K603" s="12" t="b">
        <v>1</v>
      </c>
      <c r="L603" s="12">
        <v>1</v>
      </c>
      <c r="M603" s="8">
        <v>2015</v>
      </c>
      <c r="N603" s="9">
        <v>0</v>
      </c>
      <c r="O603" s="13">
        <v>41815</v>
      </c>
      <c r="P603" s="13">
        <v>41815</v>
      </c>
    </row>
    <row r="604" spans="1:16">
      <c r="A604" s="10">
        <v>2014</v>
      </c>
      <c r="B604" s="11" t="s">
        <v>483</v>
      </c>
      <c r="C604" s="11" t="s">
        <v>484</v>
      </c>
      <c r="D604" s="12">
        <v>1015042</v>
      </c>
      <c r="E604" s="12">
        <v>2</v>
      </c>
      <c r="F604" s="12"/>
      <c r="G604" s="12">
        <v>640</v>
      </c>
      <c r="H604" s="12">
        <v>11.5</v>
      </c>
      <c r="I604" s="12"/>
      <c r="J604" s="12" t="s">
        <v>95</v>
      </c>
      <c r="K604" s="12" t="b">
        <v>1</v>
      </c>
      <c r="L604" s="12">
        <v>3</v>
      </c>
      <c r="M604" s="8">
        <v>2017</v>
      </c>
      <c r="N604" s="9">
        <v>0</v>
      </c>
      <c r="O604" s="13">
        <v>41815</v>
      </c>
      <c r="P604" s="13">
        <v>41815</v>
      </c>
    </row>
    <row r="605" spans="1:16">
      <c r="A605" s="10">
        <v>2014</v>
      </c>
      <c r="B605" s="11" t="s">
        <v>483</v>
      </c>
      <c r="C605" s="11" t="s">
        <v>484</v>
      </c>
      <c r="D605" s="12">
        <v>1015042</v>
      </c>
      <c r="E605" s="12">
        <v>2</v>
      </c>
      <c r="F605" s="12"/>
      <c r="G605" s="12">
        <v>640</v>
      </c>
      <c r="H605" s="12">
        <v>11.5</v>
      </c>
      <c r="I605" s="12"/>
      <c r="J605" s="12" t="s">
        <v>95</v>
      </c>
      <c r="K605" s="12" t="b">
        <v>1</v>
      </c>
      <c r="L605" s="12">
        <v>8</v>
      </c>
      <c r="M605" s="8">
        <v>2022</v>
      </c>
      <c r="N605" s="9">
        <v>0</v>
      </c>
      <c r="O605" s="13">
        <v>41815</v>
      </c>
      <c r="P605" s="13">
        <v>41815</v>
      </c>
    </row>
    <row r="606" spans="1:16">
      <c r="A606" s="10">
        <v>2014</v>
      </c>
      <c r="B606" s="11" t="s">
        <v>483</v>
      </c>
      <c r="C606" s="11" t="s">
        <v>484</v>
      </c>
      <c r="D606" s="12">
        <v>1015042</v>
      </c>
      <c r="E606" s="12">
        <v>2</v>
      </c>
      <c r="F606" s="12"/>
      <c r="G606" s="12">
        <v>640</v>
      </c>
      <c r="H606" s="12">
        <v>11.5</v>
      </c>
      <c r="I606" s="12"/>
      <c r="J606" s="12" t="s">
        <v>95</v>
      </c>
      <c r="K606" s="12" t="b">
        <v>1</v>
      </c>
      <c r="L606" s="12">
        <v>6</v>
      </c>
      <c r="M606" s="8">
        <v>2020</v>
      </c>
      <c r="N606" s="9">
        <v>0</v>
      </c>
      <c r="O606" s="13">
        <v>41815</v>
      </c>
      <c r="P606" s="13">
        <v>41815</v>
      </c>
    </row>
    <row r="607" spans="1:16">
      <c r="A607" s="10">
        <v>2014</v>
      </c>
      <c r="B607" s="11" t="s">
        <v>483</v>
      </c>
      <c r="C607" s="11" t="s">
        <v>484</v>
      </c>
      <c r="D607" s="12">
        <v>1015042</v>
      </c>
      <c r="E607" s="12">
        <v>2</v>
      </c>
      <c r="F607" s="12"/>
      <c r="G607" s="12">
        <v>640</v>
      </c>
      <c r="H607" s="12">
        <v>11.5</v>
      </c>
      <c r="I607" s="12"/>
      <c r="J607" s="12" t="s">
        <v>95</v>
      </c>
      <c r="K607" s="12" t="b">
        <v>1</v>
      </c>
      <c r="L607" s="12">
        <v>4</v>
      </c>
      <c r="M607" s="8">
        <v>2018</v>
      </c>
      <c r="N607" s="9">
        <v>0</v>
      </c>
      <c r="O607" s="13">
        <v>41815</v>
      </c>
      <c r="P607" s="13">
        <v>41815</v>
      </c>
    </row>
    <row r="608" spans="1:16">
      <c r="A608" s="10">
        <v>2014</v>
      </c>
      <c r="B608" s="11" t="s">
        <v>483</v>
      </c>
      <c r="C608" s="11" t="s">
        <v>484</v>
      </c>
      <c r="D608" s="12">
        <v>1015042</v>
      </c>
      <c r="E608" s="12">
        <v>2</v>
      </c>
      <c r="F608" s="12"/>
      <c r="G608" s="12">
        <v>640</v>
      </c>
      <c r="H608" s="12">
        <v>11.5</v>
      </c>
      <c r="I608" s="12"/>
      <c r="J608" s="12" t="s">
        <v>95</v>
      </c>
      <c r="K608" s="12" t="b">
        <v>1</v>
      </c>
      <c r="L608" s="12">
        <v>0</v>
      </c>
      <c r="M608" s="8">
        <v>2014</v>
      </c>
      <c r="N608" s="9">
        <v>1075668</v>
      </c>
      <c r="O608" s="13">
        <v>41815</v>
      </c>
      <c r="P608" s="13">
        <v>41815</v>
      </c>
    </row>
    <row r="609" spans="1:16">
      <c r="A609" s="10">
        <v>2014</v>
      </c>
      <c r="B609" s="11" t="s">
        <v>483</v>
      </c>
      <c r="C609" s="11" t="s">
        <v>484</v>
      </c>
      <c r="D609" s="12">
        <v>1015042</v>
      </c>
      <c r="E609" s="12">
        <v>2</v>
      </c>
      <c r="F609" s="12"/>
      <c r="G609" s="12">
        <v>440</v>
      </c>
      <c r="H609" s="12">
        <v>9</v>
      </c>
      <c r="I609" s="12"/>
      <c r="J609" s="12" t="s">
        <v>149</v>
      </c>
      <c r="K609" s="12" t="b">
        <v>0</v>
      </c>
      <c r="L609" s="12">
        <v>1</v>
      </c>
      <c r="M609" s="8">
        <v>2015</v>
      </c>
      <c r="N609" s="9">
        <v>0</v>
      </c>
      <c r="O609" s="13">
        <v>41815</v>
      </c>
      <c r="P609" s="13">
        <v>41815</v>
      </c>
    </row>
    <row r="610" spans="1:16">
      <c r="A610" s="10">
        <v>2014</v>
      </c>
      <c r="B610" s="11" t="s">
        <v>483</v>
      </c>
      <c r="C610" s="11" t="s">
        <v>484</v>
      </c>
      <c r="D610" s="12">
        <v>1015042</v>
      </c>
      <c r="E610" s="12">
        <v>2</v>
      </c>
      <c r="F610" s="12"/>
      <c r="G610" s="12">
        <v>440</v>
      </c>
      <c r="H610" s="12">
        <v>9</v>
      </c>
      <c r="I610" s="12"/>
      <c r="J610" s="12" t="s">
        <v>149</v>
      </c>
      <c r="K610" s="12" t="b">
        <v>0</v>
      </c>
      <c r="L610" s="12">
        <v>6</v>
      </c>
      <c r="M610" s="8">
        <v>2020</v>
      </c>
      <c r="N610" s="9">
        <v>0</v>
      </c>
      <c r="O610" s="13">
        <v>41815</v>
      </c>
      <c r="P610" s="13">
        <v>41815</v>
      </c>
    </row>
    <row r="611" spans="1:16">
      <c r="A611" s="10">
        <v>2014</v>
      </c>
      <c r="B611" s="11" t="s">
        <v>483</v>
      </c>
      <c r="C611" s="11" t="s">
        <v>484</v>
      </c>
      <c r="D611" s="12">
        <v>1015042</v>
      </c>
      <c r="E611" s="12">
        <v>2</v>
      </c>
      <c r="F611" s="12"/>
      <c r="G611" s="12">
        <v>440</v>
      </c>
      <c r="H611" s="12">
        <v>9</v>
      </c>
      <c r="I611" s="12"/>
      <c r="J611" s="12" t="s">
        <v>149</v>
      </c>
      <c r="K611" s="12" t="b">
        <v>0</v>
      </c>
      <c r="L611" s="12">
        <v>7</v>
      </c>
      <c r="M611" s="8">
        <v>2021</v>
      </c>
      <c r="N611" s="9">
        <v>0</v>
      </c>
      <c r="O611" s="13">
        <v>41815</v>
      </c>
      <c r="P611" s="13">
        <v>41815</v>
      </c>
    </row>
    <row r="612" spans="1:16">
      <c r="A612" s="10">
        <v>2014</v>
      </c>
      <c r="B612" s="11" t="s">
        <v>483</v>
      </c>
      <c r="C612" s="11" t="s">
        <v>484</v>
      </c>
      <c r="D612" s="12">
        <v>1015042</v>
      </c>
      <c r="E612" s="12">
        <v>2</v>
      </c>
      <c r="F612" s="12"/>
      <c r="G612" s="12">
        <v>440</v>
      </c>
      <c r="H612" s="12">
        <v>9</v>
      </c>
      <c r="I612" s="12"/>
      <c r="J612" s="12" t="s">
        <v>149</v>
      </c>
      <c r="K612" s="12" t="b">
        <v>0</v>
      </c>
      <c r="L612" s="12">
        <v>3</v>
      </c>
      <c r="M612" s="8">
        <v>2017</v>
      </c>
      <c r="N612" s="9">
        <v>0</v>
      </c>
      <c r="O612" s="13">
        <v>41815</v>
      </c>
      <c r="P612" s="13">
        <v>41815</v>
      </c>
    </row>
    <row r="613" spans="1:16">
      <c r="A613" s="10">
        <v>2014</v>
      </c>
      <c r="B613" s="11" t="s">
        <v>483</v>
      </c>
      <c r="C613" s="11" t="s">
        <v>484</v>
      </c>
      <c r="D613" s="12">
        <v>1015042</v>
      </c>
      <c r="E613" s="12">
        <v>2</v>
      </c>
      <c r="F613" s="12"/>
      <c r="G613" s="12">
        <v>440</v>
      </c>
      <c r="H613" s="12">
        <v>9</v>
      </c>
      <c r="I613" s="12"/>
      <c r="J613" s="12" t="s">
        <v>149</v>
      </c>
      <c r="K613" s="12" t="b">
        <v>0</v>
      </c>
      <c r="L613" s="12">
        <v>5</v>
      </c>
      <c r="M613" s="8">
        <v>2019</v>
      </c>
      <c r="N613" s="9">
        <v>0</v>
      </c>
      <c r="O613" s="13">
        <v>41815</v>
      </c>
      <c r="P613" s="13">
        <v>41815</v>
      </c>
    </row>
    <row r="614" spans="1:16">
      <c r="A614" s="10">
        <v>2014</v>
      </c>
      <c r="B614" s="11" t="s">
        <v>483</v>
      </c>
      <c r="C614" s="11" t="s">
        <v>484</v>
      </c>
      <c r="D614" s="12">
        <v>1015042</v>
      </c>
      <c r="E614" s="12">
        <v>2</v>
      </c>
      <c r="F614" s="12"/>
      <c r="G614" s="12">
        <v>440</v>
      </c>
      <c r="H614" s="12">
        <v>9</v>
      </c>
      <c r="I614" s="12"/>
      <c r="J614" s="12" t="s">
        <v>149</v>
      </c>
      <c r="K614" s="12" t="b">
        <v>0</v>
      </c>
      <c r="L614" s="12">
        <v>4</v>
      </c>
      <c r="M614" s="8">
        <v>2018</v>
      </c>
      <c r="N614" s="9">
        <v>0</v>
      </c>
      <c r="O614" s="13">
        <v>41815</v>
      </c>
      <c r="P614" s="13">
        <v>41815</v>
      </c>
    </row>
    <row r="615" spans="1:16">
      <c r="A615" s="10">
        <v>2014</v>
      </c>
      <c r="B615" s="11" t="s">
        <v>483</v>
      </c>
      <c r="C615" s="11" t="s">
        <v>484</v>
      </c>
      <c r="D615" s="12">
        <v>1015042</v>
      </c>
      <c r="E615" s="12">
        <v>2</v>
      </c>
      <c r="F615" s="12"/>
      <c r="G615" s="12">
        <v>440</v>
      </c>
      <c r="H615" s="12">
        <v>9</v>
      </c>
      <c r="I615" s="12"/>
      <c r="J615" s="12" t="s">
        <v>149</v>
      </c>
      <c r="K615" s="12" t="b">
        <v>0</v>
      </c>
      <c r="L615" s="12">
        <v>0</v>
      </c>
      <c r="M615" s="8">
        <v>2014</v>
      </c>
      <c r="N615" s="9">
        <v>0</v>
      </c>
      <c r="O615" s="13">
        <v>41815</v>
      </c>
      <c r="P615" s="13">
        <v>41815</v>
      </c>
    </row>
    <row r="616" spans="1:16">
      <c r="A616" s="10">
        <v>2014</v>
      </c>
      <c r="B616" s="11" t="s">
        <v>483</v>
      </c>
      <c r="C616" s="11" t="s">
        <v>484</v>
      </c>
      <c r="D616" s="12">
        <v>1015042</v>
      </c>
      <c r="E616" s="12">
        <v>2</v>
      </c>
      <c r="F616" s="12"/>
      <c r="G616" s="12">
        <v>440</v>
      </c>
      <c r="H616" s="12">
        <v>9</v>
      </c>
      <c r="I616" s="12"/>
      <c r="J616" s="12" t="s">
        <v>149</v>
      </c>
      <c r="K616" s="12" t="b">
        <v>0</v>
      </c>
      <c r="L616" s="12">
        <v>8</v>
      </c>
      <c r="M616" s="8">
        <v>2022</v>
      </c>
      <c r="N616" s="9">
        <v>0</v>
      </c>
      <c r="O616" s="13">
        <v>41815</v>
      </c>
      <c r="P616" s="13">
        <v>41815</v>
      </c>
    </row>
    <row r="617" spans="1:16">
      <c r="A617" s="10">
        <v>2014</v>
      </c>
      <c r="B617" s="11" t="s">
        <v>483</v>
      </c>
      <c r="C617" s="11" t="s">
        <v>484</v>
      </c>
      <c r="D617" s="12">
        <v>1015042</v>
      </c>
      <c r="E617" s="12">
        <v>2</v>
      </c>
      <c r="F617" s="12"/>
      <c r="G617" s="12">
        <v>470</v>
      </c>
      <c r="H617" s="12">
        <v>9.1</v>
      </c>
      <c r="I617" s="12" t="s">
        <v>379</v>
      </c>
      <c r="J617" s="12" t="s">
        <v>380</v>
      </c>
      <c r="K617" s="12" t="b">
        <v>1</v>
      </c>
      <c r="L617" s="12">
        <v>1</v>
      </c>
      <c r="M617" s="8">
        <v>2015</v>
      </c>
      <c r="N617" s="9">
        <v>7.7600000000000002E-2</v>
      </c>
      <c r="O617" s="13">
        <v>41815</v>
      </c>
      <c r="P617" s="13">
        <v>41815</v>
      </c>
    </row>
    <row r="618" spans="1:16">
      <c r="A618" s="10">
        <v>2014</v>
      </c>
      <c r="B618" s="11" t="s">
        <v>483</v>
      </c>
      <c r="C618" s="11" t="s">
        <v>484</v>
      </c>
      <c r="D618" s="12">
        <v>1015042</v>
      </c>
      <c r="E618" s="12">
        <v>2</v>
      </c>
      <c r="F618" s="12"/>
      <c r="G618" s="12">
        <v>470</v>
      </c>
      <c r="H618" s="12">
        <v>9.1</v>
      </c>
      <c r="I618" s="12" t="s">
        <v>379</v>
      </c>
      <c r="J618" s="12" t="s">
        <v>380</v>
      </c>
      <c r="K618" s="12" t="b">
        <v>1</v>
      </c>
      <c r="L618" s="12">
        <v>6</v>
      </c>
      <c r="M618" s="8">
        <v>2020</v>
      </c>
      <c r="N618" s="9">
        <v>3.1199999999999999E-2</v>
      </c>
      <c r="O618" s="13">
        <v>41815</v>
      </c>
      <c r="P618" s="13">
        <v>41815</v>
      </c>
    </row>
    <row r="619" spans="1:16">
      <c r="A619" s="10">
        <v>2014</v>
      </c>
      <c r="B619" s="11" t="s">
        <v>483</v>
      </c>
      <c r="C619" s="11" t="s">
        <v>484</v>
      </c>
      <c r="D619" s="12">
        <v>1015042</v>
      </c>
      <c r="E619" s="12">
        <v>2</v>
      </c>
      <c r="F619" s="12"/>
      <c r="G619" s="12">
        <v>470</v>
      </c>
      <c r="H619" s="12">
        <v>9.1</v>
      </c>
      <c r="I619" s="12" t="s">
        <v>379</v>
      </c>
      <c r="J619" s="12" t="s">
        <v>380</v>
      </c>
      <c r="K619" s="12" t="b">
        <v>1</v>
      </c>
      <c r="L619" s="12">
        <v>4</v>
      </c>
      <c r="M619" s="8">
        <v>2018</v>
      </c>
      <c r="N619" s="9">
        <v>4.8000000000000001E-2</v>
      </c>
      <c r="O619" s="13">
        <v>41815</v>
      </c>
      <c r="P619" s="13">
        <v>41815</v>
      </c>
    </row>
    <row r="620" spans="1:16">
      <c r="A620" s="10">
        <v>2014</v>
      </c>
      <c r="B620" s="11" t="s">
        <v>483</v>
      </c>
      <c r="C620" s="11" t="s">
        <v>484</v>
      </c>
      <c r="D620" s="12">
        <v>1015042</v>
      </c>
      <c r="E620" s="12">
        <v>2</v>
      </c>
      <c r="F620" s="12"/>
      <c r="G620" s="12">
        <v>470</v>
      </c>
      <c r="H620" s="12">
        <v>9.1</v>
      </c>
      <c r="I620" s="12" t="s">
        <v>379</v>
      </c>
      <c r="J620" s="12" t="s">
        <v>380</v>
      </c>
      <c r="K620" s="12" t="b">
        <v>1</v>
      </c>
      <c r="L620" s="12">
        <v>8</v>
      </c>
      <c r="M620" s="8">
        <v>2022</v>
      </c>
      <c r="N620" s="9">
        <v>4.5999999999999999E-3</v>
      </c>
      <c r="O620" s="13">
        <v>41815</v>
      </c>
      <c r="P620" s="13">
        <v>41815</v>
      </c>
    </row>
    <row r="621" spans="1:16">
      <c r="A621" s="10">
        <v>2014</v>
      </c>
      <c r="B621" s="11" t="s">
        <v>483</v>
      </c>
      <c r="C621" s="11" t="s">
        <v>484</v>
      </c>
      <c r="D621" s="12">
        <v>1015042</v>
      </c>
      <c r="E621" s="12">
        <v>2</v>
      </c>
      <c r="F621" s="12"/>
      <c r="G621" s="12">
        <v>470</v>
      </c>
      <c r="H621" s="12">
        <v>9.1</v>
      </c>
      <c r="I621" s="12" t="s">
        <v>379</v>
      </c>
      <c r="J621" s="12" t="s">
        <v>380</v>
      </c>
      <c r="K621" s="12" t="b">
        <v>1</v>
      </c>
      <c r="L621" s="12">
        <v>0</v>
      </c>
      <c r="M621" s="8">
        <v>2014</v>
      </c>
      <c r="N621" s="9">
        <v>5.57E-2</v>
      </c>
      <c r="O621" s="13">
        <v>41815</v>
      </c>
      <c r="P621" s="13">
        <v>41815</v>
      </c>
    </row>
    <row r="622" spans="1:16">
      <c r="A622" s="10">
        <v>2014</v>
      </c>
      <c r="B622" s="11" t="s">
        <v>483</v>
      </c>
      <c r="C622" s="11" t="s">
        <v>484</v>
      </c>
      <c r="D622" s="12">
        <v>1015042</v>
      </c>
      <c r="E622" s="12">
        <v>2</v>
      </c>
      <c r="F622" s="12"/>
      <c r="G622" s="12">
        <v>470</v>
      </c>
      <c r="H622" s="12">
        <v>9.1</v>
      </c>
      <c r="I622" s="12" t="s">
        <v>379</v>
      </c>
      <c r="J622" s="12" t="s">
        <v>380</v>
      </c>
      <c r="K622" s="12" t="b">
        <v>1</v>
      </c>
      <c r="L622" s="12">
        <v>7</v>
      </c>
      <c r="M622" s="8">
        <v>2021</v>
      </c>
      <c r="N622" s="9">
        <v>1.2699999999999999E-2</v>
      </c>
      <c r="O622" s="13">
        <v>41815</v>
      </c>
      <c r="P622" s="13">
        <v>41815</v>
      </c>
    </row>
    <row r="623" spans="1:16">
      <c r="A623" s="10">
        <v>2014</v>
      </c>
      <c r="B623" s="11" t="s">
        <v>483</v>
      </c>
      <c r="C623" s="11" t="s">
        <v>484</v>
      </c>
      <c r="D623" s="12">
        <v>1015042</v>
      </c>
      <c r="E623" s="12">
        <v>2</v>
      </c>
      <c r="F623" s="12"/>
      <c r="G623" s="12">
        <v>470</v>
      </c>
      <c r="H623" s="12">
        <v>9.1</v>
      </c>
      <c r="I623" s="12" t="s">
        <v>379</v>
      </c>
      <c r="J623" s="12" t="s">
        <v>380</v>
      </c>
      <c r="K623" s="12" t="b">
        <v>1</v>
      </c>
      <c r="L623" s="12">
        <v>5</v>
      </c>
      <c r="M623" s="8">
        <v>2019</v>
      </c>
      <c r="N623" s="9">
        <v>3.9600000000000003E-2</v>
      </c>
      <c r="O623" s="13">
        <v>41815</v>
      </c>
      <c r="P623" s="13">
        <v>41815</v>
      </c>
    </row>
    <row r="624" spans="1:16">
      <c r="A624" s="10">
        <v>2014</v>
      </c>
      <c r="B624" s="11" t="s">
        <v>483</v>
      </c>
      <c r="C624" s="11" t="s">
        <v>484</v>
      </c>
      <c r="D624" s="12">
        <v>1015042</v>
      </c>
      <c r="E624" s="12">
        <v>2</v>
      </c>
      <c r="F624" s="12"/>
      <c r="G624" s="12">
        <v>470</v>
      </c>
      <c r="H624" s="12">
        <v>9.1</v>
      </c>
      <c r="I624" s="12" t="s">
        <v>379</v>
      </c>
      <c r="J624" s="12" t="s">
        <v>380</v>
      </c>
      <c r="K624" s="12" t="b">
        <v>1</v>
      </c>
      <c r="L624" s="12">
        <v>2</v>
      </c>
      <c r="M624" s="8">
        <v>2016</v>
      </c>
      <c r="N624" s="9">
        <v>7.1800000000000003E-2</v>
      </c>
      <c r="O624" s="13">
        <v>41815</v>
      </c>
      <c r="P624" s="13">
        <v>41815</v>
      </c>
    </row>
    <row r="625" spans="1:16">
      <c r="A625" s="10">
        <v>2014</v>
      </c>
      <c r="B625" s="11" t="s">
        <v>483</v>
      </c>
      <c r="C625" s="11" t="s">
        <v>484</v>
      </c>
      <c r="D625" s="12">
        <v>1015042</v>
      </c>
      <c r="E625" s="12">
        <v>2</v>
      </c>
      <c r="F625" s="12"/>
      <c r="G625" s="12">
        <v>470</v>
      </c>
      <c r="H625" s="12">
        <v>9.1</v>
      </c>
      <c r="I625" s="12" t="s">
        <v>379</v>
      </c>
      <c r="J625" s="12" t="s">
        <v>380</v>
      </c>
      <c r="K625" s="12" t="b">
        <v>1</v>
      </c>
      <c r="L625" s="12">
        <v>3</v>
      </c>
      <c r="M625" s="8">
        <v>2017</v>
      </c>
      <c r="N625" s="9">
        <v>6.2100000000000002E-2</v>
      </c>
      <c r="O625" s="13">
        <v>41815</v>
      </c>
      <c r="P625" s="13">
        <v>41815</v>
      </c>
    </row>
    <row r="626" spans="1:16">
      <c r="A626" s="10">
        <v>2014</v>
      </c>
      <c r="B626" s="11" t="s">
        <v>483</v>
      </c>
      <c r="C626" s="11" t="s">
        <v>484</v>
      </c>
      <c r="D626" s="12">
        <v>1015042</v>
      </c>
      <c r="E626" s="12">
        <v>2</v>
      </c>
      <c r="F626" s="12"/>
      <c r="G626" s="12">
        <v>510</v>
      </c>
      <c r="H626" s="12">
        <v>9.6</v>
      </c>
      <c r="I626" s="12"/>
      <c r="J626" s="12" t="s">
        <v>389</v>
      </c>
      <c r="K626" s="12" t="b">
        <v>1</v>
      </c>
      <c r="L626" s="12">
        <v>7</v>
      </c>
      <c r="M626" s="8">
        <v>2021</v>
      </c>
      <c r="N626" s="9">
        <v>8.9700000000000002E-2</v>
      </c>
      <c r="O626" s="13">
        <v>41815</v>
      </c>
      <c r="P626" s="13">
        <v>41815</v>
      </c>
    </row>
    <row r="627" spans="1:16">
      <c r="A627" s="10">
        <v>2014</v>
      </c>
      <c r="B627" s="11" t="s">
        <v>483</v>
      </c>
      <c r="C627" s="11" t="s">
        <v>484</v>
      </c>
      <c r="D627" s="12">
        <v>1015042</v>
      </c>
      <c r="E627" s="12">
        <v>2</v>
      </c>
      <c r="F627" s="12"/>
      <c r="G627" s="12">
        <v>510</v>
      </c>
      <c r="H627" s="12">
        <v>9.6</v>
      </c>
      <c r="I627" s="12"/>
      <c r="J627" s="12" t="s">
        <v>389</v>
      </c>
      <c r="K627" s="12" t="b">
        <v>1</v>
      </c>
      <c r="L627" s="12">
        <v>2</v>
      </c>
      <c r="M627" s="8">
        <v>2016</v>
      </c>
      <c r="N627" s="9">
        <v>7.0199999999999999E-2</v>
      </c>
      <c r="O627" s="13">
        <v>41815</v>
      </c>
      <c r="P627" s="13">
        <v>41815</v>
      </c>
    </row>
    <row r="628" spans="1:16">
      <c r="A628" s="10">
        <v>2014</v>
      </c>
      <c r="B628" s="11" t="s">
        <v>483</v>
      </c>
      <c r="C628" s="11" t="s">
        <v>484</v>
      </c>
      <c r="D628" s="12">
        <v>1015042</v>
      </c>
      <c r="E628" s="12">
        <v>2</v>
      </c>
      <c r="F628" s="12"/>
      <c r="G628" s="12">
        <v>510</v>
      </c>
      <c r="H628" s="12">
        <v>9.6</v>
      </c>
      <c r="I628" s="12"/>
      <c r="J628" s="12" t="s">
        <v>389</v>
      </c>
      <c r="K628" s="12" t="b">
        <v>1</v>
      </c>
      <c r="L628" s="12">
        <v>8</v>
      </c>
      <c r="M628" s="8">
        <v>2022</v>
      </c>
      <c r="N628" s="9">
        <v>9.1700000000000004E-2</v>
      </c>
      <c r="O628" s="13">
        <v>41815</v>
      </c>
      <c r="P628" s="13">
        <v>41815</v>
      </c>
    </row>
    <row r="629" spans="1:16">
      <c r="A629" s="10">
        <v>2014</v>
      </c>
      <c r="B629" s="11" t="s">
        <v>483</v>
      </c>
      <c r="C629" s="11" t="s">
        <v>484</v>
      </c>
      <c r="D629" s="12">
        <v>1015042</v>
      </c>
      <c r="E629" s="12">
        <v>2</v>
      </c>
      <c r="F629" s="12"/>
      <c r="G629" s="12">
        <v>510</v>
      </c>
      <c r="H629" s="12">
        <v>9.6</v>
      </c>
      <c r="I629" s="12"/>
      <c r="J629" s="12" t="s">
        <v>389</v>
      </c>
      <c r="K629" s="12" t="b">
        <v>1</v>
      </c>
      <c r="L629" s="12">
        <v>5</v>
      </c>
      <c r="M629" s="8">
        <v>2019</v>
      </c>
      <c r="N629" s="9">
        <v>9.5000000000000001E-2</v>
      </c>
      <c r="O629" s="13">
        <v>41815</v>
      </c>
      <c r="P629" s="13">
        <v>41815</v>
      </c>
    </row>
    <row r="630" spans="1:16">
      <c r="A630" s="10">
        <v>2014</v>
      </c>
      <c r="B630" s="11" t="s">
        <v>483</v>
      </c>
      <c r="C630" s="11" t="s">
        <v>484</v>
      </c>
      <c r="D630" s="12">
        <v>1015042</v>
      </c>
      <c r="E630" s="12">
        <v>2</v>
      </c>
      <c r="F630" s="12"/>
      <c r="G630" s="12">
        <v>510</v>
      </c>
      <c r="H630" s="12">
        <v>9.6</v>
      </c>
      <c r="I630" s="12"/>
      <c r="J630" s="12" t="s">
        <v>389</v>
      </c>
      <c r="K630" s="12" t="b">
        <v>1</v>
      </c>
      <c r="L630" s="12">
        <v>3</v>
      </c>
      <c r="M630" s="8">
        <v>2017</v>
      </c>
      <c r="N630" s="9">
        <v>8.3699999999999997E-2</v>
      </c>
      <c r="O630" s="13">
        <v>41815</v>
      </c>
      <c r="P630" s="13">
        <v>41815</v>
      </c>
    </row>
    <row r="631" spans="1:16">
      <c r="A631" s="10">
        <v>2014</v>
      </c>
      <c r="B631" s="11" t="s">
        <v>483</v>
      </c>
      <c r="C631" s="11" t="s">
        <v>484</v>
      </c>
      <c r="D631" s="12">
        <v>1015042</v>
      </c>
      <c r="E631" s="12">
        <v>2</v>
      </c>
      <c r="F631" s="12"/>
      <c r="G631" s="12">
        <v>510</v>
      </c>
      <c r="H631" s="12">
        <v>9.6</v>
      </c>
      <c r="I631" s="12"/>
      <c r="J631" s="12" t="s">
        <v>389</v>
      </c>
      <c r="K631" s="12" t="b">
        <v>1</v>
      </c>
      <c r="L631" s="12">
        <v>4</v>
      </c>
      <c r="M631" s="8">
        <v>2018</v>
      </c>
      <c r="N631" s="9">
        <v>9.8199999999999996E-2</v>
      </c>
      <c r="O631" s="13">
        <v>41815</v>
      </c>
      <c r="P631" s="13">
        <v>41815</v>
      </c>
    </row>
    <row r="632" spans="1:16">
      <c r="A632" s="10">
        <v>2014</v>
      </c>
      <c r="B632" s="11" t="s">
        <v>483</v>
      </c>
      <c r="C632" s="11" t="s">
        <v>484</v>
      </c>
      <c r="D632" s="12">
        <v>1015042</v>
      </c>
      <c r="E632" s="12">
        <v>2</v>
      </c>
      <c r="F632" s="12"/>
      <c r="G632" s="12">
        <v>510</v>
      </c>
      <c r="H632" s="12">
        <v>9.6</v>
      </c>
      <c r="I632" s="12"/>
      <c r="J632" s="12" t="s">
        <v>389</v>
      </c>
      <c r="K632" s="12" t="b">
        <v>1</v>
      </c>
      <c r="L632" s="12">
        <v>0</v>
      </c>
      <c r="M632" s="8">
        <v>2014</v>
      </c>
      <c r="N632" s="9">
        <v>8.2299999999999998E-2</v>
      </c>
      <c r="O632" s="13">
        <v>41815</v>
      </c>
      <c r="P632" s="13">
        <v>41815</v>
      </c>
    </row>
    <row r="633" spans="1:16">
      <c r="A633" s="10">
        <v>2014</v>
      </c>
      <c r="B633" s="11" t="s">
        <v>483</v>
      </c>
      <c r="C633" s="11" t="s">
        <v>484</v>
      </c>
      <c r="D633" s="12">
        <v>1015042</v>
      </c>
      <c r="E633" s="12">
        <v>2</v>
      </c>
      <c r="F633" s="12"/>
      <c r="G633" s="12">
        <v>510</v>
      </c>
      <c r="H633" s="12">
        <v>9.6</v>
      </c>
      <c r="I633" s="12"/>
      <c r="J633" s="12" t="s">
        <v>389</v>
      </c>
      <c r="K633" s="12" t="b">
        <v>1</v>
      </c>
      <c r="L633" s="12">
        <v>1</v>
      </c>
      <c r="M633" s="8">
        <v>2015</v>
      </c>
      <c r="N633" s="9">
        <v>7.5999999999999998E-2</v>
      </c>
      <c r="O633" s="13">
        <v>41815</v>
      </c>
      <c r="P633" s="13">
        <v>41815</v>
      </c>
    </row>
    <row r="634" spans="1:16">
      <c r="A634" s="10">
        <v>2014</v>
      </c>
      <c r="B634" s="11" t="s">
        <v>483</v>
      </c>
      <c r="C634" s="11" t="s">
        <v>484</v>
      </c>
      <c r="D634" s="12">
        <v>1015042</v>
      </c>
      <c r="E634" s="12">
        <v>2</v>
      </c>
      <c r="F634" s="12"/>
      <c r="G634" s="12">
        <v>510</v>
      </c>
      <c r="H634" s="12">
        <v>9.6</v>
      </c>
      <c r="I634" s="12"/>
      <c r="J634" s="12" t="s">
        <v>389</v>
      </c>
      <c r="K634" s="12" t="b">
        <v>1</v>
      </c>
      <c r="L634" s="12">
        <v>6</v>
      </c>
      <c r="M634" s="8">
        <v>2020</v>
      </c>
      <c r="N634" s="9">
        <v>8.8499999999999995E-2</v>
      </c>
      <c r="O634" s="13">
        <v>41815</v>
      </c>
      <c r="P634" s="13">
        <v>41815</v>
      </c>
    </row>
    <row r="635" spans="1:16">
      <c r="A635" s="10">
        <v>2014</v>
      </c>
      <c r="B635" s="11" t="s">
        <v>483</v>
      </c>
      <c r="C635" s="11" t="s">
        <v>484</v>
      </c>
      <c r="D635" s="12">
        <v>1015042</v>
      </c>
      <c r="E635" s="12">
        <v>2</v>
      </c>
      <c r="F635" s="12"/>
      <c r="G635" s="12">
        <v>184</v>
      </c>
      <c r="H635" s="12" t="s">
        <v>364</v>
      </c>
      <c r="I635" s="12"/>
      <c r="J635" s="12" t="s">
        <v>365</v>
      </c>
      <c r="K635" s="12" t="b">
        <v>0</v>
      </c>
      <c r="L635" s="12">
        <v>8</v>
      </c>
      <c r="M635" s="8">
        <v>2022</v>
      </c>
      <c r="N635" s="9">
        <v>0</v>
      </c>
      <c r="O635" s="13">
        <v>41815</v>
      </c>
      <c r="P635" s="13">
        <v>41815</v>
      </c>
    </row>
    <row r="636" spans="1:16">
      <c r="A636" s="10">
        <v>2014</v>
      </c>
      <c r="B636" s="11" t="s">
        <v>483</v>
      </c>
      <c r="C636" s="11" t="s">
        <v>484</v>
      </c>
      <c r="D636" s="12">
        <v>1015042</v>
      </c>
      <c r="E636" s="12">
        <v>2</v>
      </c>
      <c r="F636" s="12"/>
      <c r="G636" s="12">
        <v>184</v>
      </c>
      <c r="H636" s="12" t="s">
        <v>364</v>
      </c>
      <c r="I636" s="12"/>
      <c r="J636" s="12" t="s">
        <v>365</v>
      </c>
      <c r="K636" s="12" t="b">
        <v>0</v>
      </c>
      <c r="L636" s="12">
        <v>1</v>
      </c>
      <c r="M636" s="8">
        <v>2015</v>
      </c>
      <c r="N636" s="9">
        <v>22625</v>
      </c>
      <c r="O636" s="13">
        <v>41815</v>
      </c>
      <c r="P636" s="13">
        <v>41815</v>
      </c>
    </row>
    <row r="637" spans="1:16">
      <c r="A637" s="10">
        <v>2014</v>
      </c>
      <c r="B637" s="11" t="s">
        <v>483</v>
      </c>
      <c r="C637" s="11" t="s">
        <v>484</v>
      </c>
      <c r="D637" s="12">
        <v>1015042</v>
      </c>
      <c r="E637" s="12">
        <v>2</v>
      </c>
      <c r="F637" s="12"/>
      <c r="G637" s="12">
        <v>184</v>
      </c>
      <c r="H637" s="12" t="s">
        <v>364</v>
      </c>
      <c r="I637" s="12"/>
      <c r="J637" s="12" t="s">
        <v>365</v>
      </c>
      <c r="K637" s="12" t="b">
        <v>0</v>
      </c>
      <c r="L637" s="12">
        <v>7</v>
      </c>
      <c r="M637" s="8">
        <v>2021</v>
      </c>
      <c r="N637" s="9">
        <v>0</v>
      </c>
      <c r="O637" s="13">
        <v>41815</v>
      </c>
      <c r="P637" s="13">
        <v>41815</v>
      </c>
    </row>
    <row r="638" spans="1:16">
      <c r="A638" s="10">
        <v>2014</v>
      </c>
      <c r="B638" s="11" t="s">
        <v>483</v>
      </c>
      <c r="C638" s="11" t="s">
        <v>484</v>
      </c>
      <c r="D638" s="12">
        <v>1015042</v>
      </c>
      <c r="E638" s="12">
        <v>2</v>
      </c>
      <c r="F638" s="12"/>
      <c r="G638" s="12">
        <v>184</v>
      </c>
      <c r="H638" s="12" t="s">
        <v>364</v>
      </c>
      <c r="I638" s="12"/>
      <c r="J638" s="12" t="s">
        <v>365</v>
      </c>
      <c r="K638" s="12" t="b">
        <v>0</v>
      </c>
      <c r="L638" s="12">
        <v>5</v>
      </c>
      <c r="M638" s="8">
        <v>2019</v>
      </c>
      <c r="N638" s="9">
        <v>5249</v>
      </c>
      <c r="O638" s="13">
        <v>41815</v>
      </c>
      <c r="P638" s="13">
        <v>41815</v>
      </c>
    </row>
    <row r="639" spans="1:16">
      <c r="A639" s="10">
        <v>2014</v>
      </c>
      <c r="B639" s="11" t="s">
        <v>483</v>
      </c>
      <c r="C639" s="11" t="s">
        <v>484</v>
      </c>
      <c r="D639" s="12">
        <v>1015042</v>
      </c>
      <c r="E639" s="12">
        <v>2</v>
      </c>
      <c r="F639" s="12"/>
      <c r="G639" s="12">
        <v>184</v>
      </c>
      <c r="H639" s="12" t="s">
        <v>364</v>
      </c>
      <c r="I639" s="12"/>
      <c r="J639" s="12" t="s">
        <v>365</v>
      </c>
      <c r="K639" s="12" t="b">
        <v>0</v>
      </c>
      <c r="L639" s="12">
        <v>0</v>
      </c>
      <c r="M639" s="8">
        <v>2014</v>
      </c>
      <c r="N639" s="9">
        <v>26969</v>
      </c>
      <c r="O639" s="13">
        <v>41815</v>
      </c>
      <c r="P639" s="13">
        <v>41815</v>
      </c>
    </row>
    <row r="640" spans="1:16">
      <c r="A640" s="10">
        <v>2014</v>
      </c>
      <c r="B640" s="11" t="s">
        <v>483</v>
      </c>
      <c r="C640" s="11" t="s">
        <v>484</v>
      </c>
      <c r="D640" s="12">
        <v>1015042</v>
      </c>
      <c r="E640" s="12">
        <v>2</v>
      </c>
      <c r="F640" s="12"/>
      <c r="G640" s="12">
        <v>184</v>
      </c>
      <c r="H640" s="12" t="s">
        <v>364</v>
      </c>
      <c r="I640" s="12"/>
      <c r="J640" s="12" t="s">
        <v>365</v>
      </c>
      <c r="K640" s="12" t="b">
        <v>0</v>
      </c>
      <c r="L640" s="12">
        <v>4</v>
      </c>
      <c r="M640" s="8">
        <v>2018</v>
      </c>
      <c r="N640" s="9">
        <v>9593</v>
      </c>
      <c r="O640" s="13">
        <v>41815</v>
      </c>
      <c r="P640" s="13">
        <v>41815</v>
      </c>
    </row>
    <row r="641" spans="1:16">
      <c r="A641" s="10">
        <v>2014</v>
      </c>
      <c r="B641" s="11" t="s">
        <v>483</v>
      </c>
      <c r="C641" s="11" t="s">
        <v>484</v>
      </c>
      <c r="D641" s="12">
        <v>1015042</v>
      </c>
      <c r="E641" s="12">
        <v>2</v>
      </c>
      <c r="F641" s="12"/>
      <c r="G641" s="12">
        <v>184</v>
      </c>
      <c r="H641" s="12" t="s">
        <v>364</v>
      </c>
      <c r="I641" s="12"/>
      <c r="J641" s="12" t="s">
        <v>365</v>
      </c>
      <c r="K641" s="12" t="b">
        <v>0</v>
      </c>
      <c r="L641" s="12">
        <v>2</v>
      </c>
      <c r="M641" s="8">
        <v>2016</v>
      </c>
      <c r="N641" s="9">
        <v>18281</v>
      </c>
      <c r="O641" s="13">
        <v>41815</v>
      </c>
      <c r="P641" s="13">
        <v>41815</v>
      </c>
    </row>
    <row r="642" spans="1:16">
      <c r="A642" s="10">
        <v>2014</v>
      </c>
      <c r="B642" s="11" t="s">
        <v>483</v>
      </c>
      <c r="C642" s="11" t="s">
        <v>484</v>
      </c>
      <c r="D642" s="12">
        <v>1015042</v>
      </c>
      <c r="E642" s="12">
        <v>2</v>
      </c>
      <c r="F642" s="12"/>
      <c r="G642" s="12">
        <v>184</v>
      </c>
      <c r="H642" s="12" t="s">
        <v>364</v>
      </c>
      <c r="I642" s="12"/>
      <c r="J642" s="12" t="s">
        <v>365</v>
      </c>
      <c r="K642" s="12" t="b">
        <v>0</v>
      </c>
      <c r="L642" s="12">
        <v>6</v>
      </c>
      <c r="M642" s="8">
        <v>2020</v>
      </c>
      <c r="N642" s="9">
        <v>1086</v>
      </c>
      <c r="O642" s="13">
        <v>41815</v>
      </c>
      <c r="P642" s="13">
        <v>41815</v>
      </c>
    </row>
    <row r="643" spans="1:16">
      <c r="A643" s="10">
        <v>2014</v>
      </c>
      <c r="B643" s="11" t="s">
        <v>483</v>
      </c>
      <c r="C643" s="11" t="s">
        <v>484</v>
      </c>
      <c r="D643" s="12">
        <v>1015042</v>
      </c>
      <c r="E643" s="12">
        <v>2</v>
      </c>
      <c r="F643" s="12"/>
      <c r="G643" s="12">
        <v>184</v>
      </c>
      <c r="H643" s="12" t="s">
        <v>364</v>
      </c>
      <c r="I643" s="12"/>
      <c r="J643" s="12" t="s">
        <v>365</v>
      </c>
      <c r="K643" s="12" t="b">
        <v>0</v>
      </c>
      <c r="L643" s="12">
        <v>3</v>
      </c>
      <c r="M643" s="8">
        <v>2017</v>
      </c>
      <c r="N643" s="9">
        <v>13937</v>
      </c>
      <c r="O643" s="13">
        <v>41815</v>
      </c>
      <c r="P643" s="13">
        <v>41815</v>
      </c>
    </row>
    <row r="644" spans="1:16">
      <c r="A644" s="10">
        <v>2014</v>
      </c>
      <c r="B644" s="11" t="s">
        <v>483</v>
      </c>
      <c r="C644" s="11" t="s">
        <v>484</v>
      </c>
      <c r="D644" s="12">
        <v>1015042</v>
      </c>
      <c r="E644" s="12">
        <v>2</v>
      </c>
      <c r="F644" s="12"/>
      <c r="G644" s="12">
        <v>930</v>
      </c>
      <c r="H644" s="12" t="s">
        <v>133</v>
      </c>
      <c r="I644" s="12"/>
      <c r="J644" s="12" t="s">
        <v>134</v>
      </c>
      <c r="K644" s="12" t="b">
        <v>1</v>
      </c>
      <c r="L644" s="12">
        <v>6</v>
      </c>
      <c r="M644" s="8">
        <v>2020</v>
      </c>
      <c r="N644" s="9">
        <v>0</v>
      </c>
      <c r="O644" s="13">
        <v>41815</v>
      </c>
      <c r="P644" s="13">
        <v>41815</v>
      </c>
    </row>
    <row r="645" spans="1:16">
      <c r="A645" s="10">
        <v>2014</v>
      </c>
      <c r="B645" s="11" t="s">
        <v>483</v>
      </c>
      <c r="C645" s="11" t="s">
        <v>484</v>
      </c>
      <c r="D645" s="12">
        <v>1015042</v>
      </c>
      <c r="E645" s="12">
        <v>2</v>
      </c>
      <c r="F645" s="12"/>
      <c r="G645" s="12">
        <v>930</v>
      </c>
      <c r="H645" s="12" t="s">
        <v>133</v>
      </c>
      <c r="I645" s="12"/>
      <c r="J645" s="12" t="s">
        <v>134</v>
      </c>
      <c r="K645" s="12" t="b">
        <v>1</v>
      </c>
      <c r="L645" s="12">
        <v>5</v>
      </c>
      <c r="M645" s="8">
        <v>2019</v>
      </c>
      <c r="N645" s="9">
        <v>0</v>
      </c>
      <c r="O645" s="13">
        <v>41815</v>
      </c>
      <c r="P645" s="13">
        <v>41815</v>
      </c>
    </row>
    <row r="646" spans="1:16">
      <c r="A646" s="10">
        <v>2014</v>
      </c>
      <c r="B646" s="11" t="s">
        <v>483</v>
      </c>
      <c r="C646" s="11" t="s">
        <v>484</v>
      </c>
      <c r="D646" s="12">
        <v>1015042</v>
      </c>
      <c r="E646" s="12">
        <v>2</v>
      </c>
      <c r="F646" s="12"/>
      <c r="G646" s="12">
        <v>930</v>
      </c>
      <c r="H646" s="12" t="s">
        <v>133</v>
      </c>
      <c r="I646" s="12"/>
      <c r="J646" s="12" t="s">
        <v>134</v>
      </c>
      <c r="K646" s="12" t="b">
        <v>1</v>
      </c>
      <c r="L646" s="12">
        <v>3</v>
      </c>
      <c r="M646" s="8">
        <v>2017</v>
      </c>
      <c r="N646" s="9">
        <v>0</v>
      </c>
      <c r="O646" s="13">
        <v>41815</v>
      </c>
      <c r="P646" s="13">
        <v>41815</v>
      </c>
    </row>
    <row r="647" spans="1:16">
      <c r="A647" s="10">
        <v>2014</v>
      </c>
      <c r="B647" s="11" t="s">
        <v>483</v>
      </c>
      <c r="C647" s="11" t="s">
        <v>484</v>
      </c>
      <c r="D647" s="12">
        <v>1015042</v>
      </c>
      <c r="E647" s="12">
        <v>2</v>
      </c>
      <c r="F647" s="12"/>
      <c r="G647" s="12">
        <v>930</v>
      </c>
      <c r="H647" s="12" t="s">
        <v>133</v>
      </c>
      <c r="I647" s="12"/>
      <c r="J647" s="12" t="s">
        <v>134</v>
      </c>
      <c r="K647" s="12" t="b">
        <v>1</v>
      </c>
      <c r="L647" s="12">
        <v>8</v>
      </c>
      <c r="M647" s="8">
        <v>2022</v>
      </c>
      <c r="N647" s="9">
        <v>0</v>
      </c>
      <c r="O647" s="13">
        <v>41815</v>
      </c>
      <c r="P647" s="13">
        <v>41815</v>
      </c>
    </row>
    <row r="648" spans="1:16">
      <c r="A648" s="10">
        <v>2014</v>
      </c>
      <c r="B648" s="11" t="s">
        <v>483</v>
      </c>
      <c r="C648" s="11" t="s">
        <v>484</v>
      </c>
      <c r="D648" s="12">
        <v>1015042</v>
      </c>
      <c r="E648" s="12">
        <v>2</v>
      </c>
      <c r="F648" s="12"/>
      <c r="G648" s="12">
        <v>930</v>
      </c>
      <c r="H648" s="12" t="s">
        <v>133</v>
      </c>
      <c r="I648" s="12"/>
      <c r="J648" s="12" t="s">
        <v>134</v>
      </c>
      <c r="K648" s="12" t="b">
        <v>1</v>
      </c>
      <c r="L648" s="12">
        <v>4</v>
      </c>
      <c r="M648" s="8">
        <v>2018</v>
      </c>
      <c r="N648" s="9">
        <v>0</v>
      </c>
      <c r="O648" s="13">
        <v>41815</v>
      </c>
      <c r="P648" s="13">
        <v>41815</v>
      </c>
    </row>
    <row r="649" spans="1:16">
      <c r="A649" s="10">
        <v>2014</v>
      </c>
      <c r="B649" s="11" t="s">
        <v>483</v>
      </c>
      <c r="C649" s="11" t="s">
        <v>484</v>
      </c>
      <c r="D649" s="12">
        <v>1015042</v>
      </c>
      <c r="E649" s="12">
        <v>2</v>
      </c>
      <c r="F649" s="12"/>
      <c r="G649" s="12">
        <v>930</v>
      </c>
      <c r="H649" s="12" t="s">
        <v>133</v>
      </c>
      <c r="I649" s="12"/>
      <c r="J649" s="12" t="s">
        <v>134</v>
      </c>
      <c r="K649" s="12" t="b">
        <v>1</v>
      </c>
      <c r="L649" s="12">
        <v>1</v>
      </c>
      <c r="M649" s="8">
        <v>2015</v>
      </c>
      <c r="N649" s="9">
        <v>0</v>
      </c>
      <c r="O649" s="13">
        <v>41815</v>
      </c>
      <c r="P649" s="13">
        <v>41815</v>
      </c>
    </row>
    <row r="650" spans="1:16">
      <c r="A650" s="10">
        <v>2014</v>
      </c>
      <c r="B650" s="11" t="s">
        <v>483</v>
      </c>
      <c r="C650" s="11" t="s">
        <v>484</v>
      </c>
      <c r="D650" s="12">
        <v>1015042</v>
      </c>
      <c r="E650" s="12">
        <v>2</v>
      </c>
      <c r="F650" s="12"/>
      <c r="G650" s="12">
        <v>930</v>
      </c>
      <c r="H650" s="12" t="s">
        <v>133</v>
      </c>
      <c r="I650" s="12"/>
      <c r="J650" s="12" t="s">
        <v>134</v>
      </c>
      <c r="K650" s="12" t="b">
        <v>1</v>
      </c>
      <c r="L650" s="12">
        <v>2</v>
      </c>
      <c r="M650" s="8">
        <v>2016</v>
      </c>
      <c r="N650" s="9">
        <v>0</v>
      </c>
      <c r="O650" s="13">
        <v>41815</v>
      </c>
      <c r="P650" s="13">
        <v>41815</v>
      </c>
    </row>
    <row r="651" spans="1:16">
      <c r="A651" s="10">
        <v>2014</v>
      </c>
      <c r="B651" s="11" t="s">
        <v>483</v>
      </c>
      <c r="C651" s="11" t="s">
        <v>484</v>
      </c>
      <c r="D651" s="12">
        <v>1015042</v>
      </c>
      <c r="E651" s="12">
        <v>2</v>
      </c>
      <c r="F651" s="12"/>
      <c r="G651" s="12">
        <v>930</v>
      </c>
      <c r="H651" s="12" t="s">
        <v>133</v>
      </c>
      <c r="I651" s="12"/>
      <c r="J651" s="12" t="s">
        <v>134</v>
      </c>
      <c r="K651" s="12" t="b">
        <v>1</v>
      </c>
      <c r="L651" s="12">
        <v>0</v>
      </c>
      <c r="M651" s="8">
        <v>2014</v>
      </c>
      <c r="N651" s="9">
        <v>0</v>
      </c>
      <c r="O651" s="13">
        <v>41815</v>
      </c>
      <c r="P651" s="13">
        <v>41815</v>
      </c>
    </row>
    <row r="652" spans="1:16">
      <c r="A652" s="10">
        <v>2014</v>
      </c>
      <c r="B652" s="11" t="s">
        <v>483</v>
      </c>
      <c r="C652" s="11" t="s">
        <v>484</v>
      </c>
      <c r="D652" s="12">
        <v>1015042</v>
      </c>
      <c r="E652" s="12">
        <v>2</v>
      </c>
      <c r="F652" s="12"/>
      <c r="G652" s="12">
        <v>930</v>
      </c>
      <c r="H652" s="12" t="s">
        <v>133</v>
      </c>
      <c r="I652" s="12"/>
      <c r="J652" s="12" t="s">
        <v>134</v>
      </c>
      <c r="K652" s="12" t="b">
        <v>1</v>
      </c>
      <c r="L652" s="12">
        <v>7</v>
      </c>
      <c r="M652" s="8">
        <v>2021</v>
      </c>
      <c r="N652" s="9">
        <v>0</v>
      </c>
      <c r="O652" s="13">
        <v>41815</v>
      </c>
      <c r="P652" s="13">
        <v>41815</v>
      </c>
    </row>
    <row r="653" spans="1:16">
      <c r="A653" s="10">
        <v>2014</v>
      </c>
      <c r="B653" s="11" t="s">
        <v>483</v>
      </c>
      <c r="C653" s="11" t="s">
        <v>484</v>
      </c>
      <c r="D653" s="12">
        <v>1015042</v>
      </c>
      <c r="E653" s="12">
        <v>2</v>
      </c>
      <c r="F653" s="12"/>
      <c r="G653" s="12">
        <v>140</v>
      </c>
      <c r="H653" s="12" t="s">
        <v>59</v>
      </c>
      <c r="I653" s="12"/>
      <c r="J653" s="12" t="s">
        <v>60</v>
      </c>
      <c r="K653" s="12" t="b">
        <v>1</v>
      </c>
      <c r="L653" s="12">
        <v>6</v>
      </c>
      <c r="M653" s="8">
        <v>2020</v>
      </c>
      <c r="N653" s="9">
        <v>0</v>
      </c>
      <c r="O653" s="13">
        <v>41815</v>
      </c>
      <c r="P653" s="13">
        <v>41815</v>
      </c>
    </row>
    <row r="654" spans="1:16">
      <c r="A654" s="10">
        <v>2014</v>
      </c>
      <c r="B654" s="11" t="s">
        <v>483</v>
      </c>
      <c r="C654" s="11" t="s">
        <v>484</v>
      </c>
      <c r="D654" s="12">
        <v>1015042</v>
      </c>
      <c r="E654" s="12">
        <v>2</v>
      </c>
      <c r="F654" s="12"/>
      <c r="G654" s="12">
        <v>140</v>
      </c>
      <c r="H654" s="12" t="s">
        <v>59</v>
      </c>
      <c r="I654" s="12"/>
      <c r="J654" s="12" t="s">
        <v>60</v>
      </c>
      <c r="K654" s="12" t="b">
        <v>1</v>
      </c>
      <c r="L654" s="12">
        <v>2</v>
      </c>
      <c r="M654" s="8">
        <v>2016</v>
      </c>
      <c r="N654" s="9">
        <v>0</v>
      </c>
      <c r="O654" s="13">
        <v>41815</v>
      </c>
      <c r="P654" s="13">
        <v>41815</v>
      </c>
    </row>
    <row r="655" spans="1:16">
      <c r="A655" s="10">
        <v>2014</v>
      </c>
      <c r="B655" s="11" t="s">
        <v>483</v>
      </c>
      <c r="C655" s="11" t="s">
        <v>484</v>
      </c>
      <c r="D655" s="12">
        <v>1015042</v>
      </c>
      <c r="E655" s="12">
        <v>2</v>
      </c>
      <c r="F655" s="12"/>
      <c r="G655" s="12">
        <v>140</v>
      </c>
      <c r="H655" s="12" t="s">
        <v>59</v>
      </c>
      <c r="I655" s="12"/>
      <c r="J655" s="12" t="s">
        <v>60</v>
      </c>
      <c r="K655" s="12" t="b">
        <v>1</v>
      </c>
      <c r="L655" s="12">
        <v>3</v>
      </c>
      <c r="M655" s="8">
        <v>2017</v>
      </c>
      <c r="N655" s="9">
        <v>0</v>
      </c>
      <c r="O655" s="13">
        <v>41815</v>
      </c>
      <c r="P655" s="13">
        <v>41815</v>
      </c>
    </row>
    <row r="656" spans="1:16">
      <c r="A656" s="10">
        <v>2014</v>
      </c>
      <c r="B656" s="11" t="s">
        <v>483</v>
      </c>
      <c r="C656" s="11" t="s">
        <v>484</v>
      </c>
      <c r="D656" s="12">
        <v>1015042</v>
      </c>
      <c r="E656" s="12">
        <v>2</v>
      </c>
      <c r="F656" s="12"/>
      <c r="G656" s="12">
        <v>140</v>
      </c>
      <c r="H656" s="12" t="s">
        <v>59</v>
      </c>
      <c r="I656" s="12"/>
      <c r="J656" s="12" t="s">
        <v>60</v>
      </c>
      <c r="K656" s="12" t="b">
        <v>1</v>
      </c>
      <c r="L656" s="12">
        <v>8</v>
      </c>
      <c r="M656" s="8">
        <v>2022</v>
      </c>
      <c r="N656" s="9">
        <v>0</v>
      </c>
      <c r="O656" s="13">
        <v>41815</v>
      </c>
      <c r="P656" s="13">
        <v>41815</v>
      </c>
    </row>
    <row r="657" spans="1:16">
      <c r="A657" s="10">
        <v>2014</v>
      </c>
      <c r="B657" s="11" t="s">
        <v>483</v>
      </c>
      <c r="C657" s="11" t="s">
        <v>484</v>
      </c>
      <c r="D657" s="12">
        <v>1015042</v>
      </c>
      <c r="E657" s="12">
        <v>2</v>
      </c>
      <c r="F657" s="12"/>
      <c r="G657" s="12">
        <v>140</v>
      </c>
      <c r="H657" s="12" t="s">
        <v>59</v>
      </c>
      <c r="I657" s="12"/>
      <c r="J657" s="12" t="s">
        <v>60</v>
      </c>
      <c r="K657" s="12" t="b">
        <v>1</v>
      </c>
      <c r="L657" s="12">
        <v>4</v>
      </c>
      <c r="M657" s="8">
        <v>2018</v>
      </c>
      <c r="N657" s="9">
        <v>0</v>
      </c>
      <c r="O657" s="13">
        <v>41815</v>
      </c>
      <c r="P657" s="13">
        <v>41815</v>
      </c>
    </row>
    <row r="658" spans="1:16">
      <c r="A658" s="10">
        <v>2014</v>
      </c>
      <c r="B658" s="11" t="s">
        <v>483</v>
      </c>
      <c r="C658" s="11" t="s">
        <v>484</v>
      </c>
      <c r="D658" s="12">
        <v>1015042</v>
      </c>
      <c r="E658" s="12">
        <v>2</v>
      </c>
      <c r="F658" s="12"/>
      <c r="G658" s="12">
        <v>140</v>
      </c>
      <c r="H658" s="12" t="s">
        <v>59</v>
      </c>
      <c r="I658" s="12"/>
      <c r="J658" s="12" t="s">
        <v>60</v>
      </c>
      <c r="K658" s="12" t="b">
        <v>1</v>
      </c>
      <c r="L658" s="12">
        <v>5</v>
      </c>
      <c r="M658" s="8">
        <v>2019</v>
      </c>
      <c r="N658" s="9">
        <v>0</v>
      </c>
      <c r="O658" s="13">
        <v>41815</v>
      </c>
      <c r="P658" s="13">
        <v>41815</v>
      </c>
    </row>
    <row r="659" spans="1:16">
      <c r="A659" s="10">
        <v>2014</v>
      </c>
      <c r="B659" s="11" t="s">
        <v>483</v>
      </c>
      <c r="C659" s="11" t="s">
        <v>484</v>
      </c>
      <c r="D659" s="12">
        <v>1015042</v>
      </c>
      <c r="E659" s="12">
        <v>2</v>
      </c>
      <c r="F659" s="12"/>
      <c r="G659" s="12">
        <v>140</v>
      </c>
      <c r="H659" s="12" t="s">
        <v>59</v>
      </c>
      <c r="I659" s="12"/>
      <c r="J659" s="12" t="s">
        <v>60</v>
      </c>
      <c r="K659" s="12" t="b">
        <v>1</v>
      </c>
      <c r="L659" s="12">
        <v>0</v>
      </c>
      <c r="M659" s="8">
        <v>2014</v>
      </c>
      <c r="N659" s="9">
        <v>0</v>
      </c>
      <c r="O659" s="13">
        <v>41815</v>
      </c>
      <c r="P659" s="13">
        <v>41815</v>
      </c>
    </row>
    <row r="660" spans="1:16">
      <c r="A660" s="10">
        <v>2014</v>
      </c>
      <c r="B660" s="11" t="s">
        <v>483</v>
      </c>
      <c r="C660" s="11" t="s">
        <v>484</v>
      </c>
      <c r="D660" s="12">
        <v>1015042</v>
      </c>
      <c r="E660" s="12">
        <v>2</v>
      </c>
      <c r="F660" s="12"/>
      <c r="G660" s="12">
        <v>140</v>
      </c>
      <c r="H660" s="12" t="s">
        <v>59</v>
      </c>
      <c r="I660" s="12"/>
      <c r="J660" s="12" t="s">
        <v>60</v>
      </c>
      <c r="K660" s="12" t="b">
        <v>1</v>
      </c>
      <c r="L660" s="12">
        <v>7</v>
      </c>
      <c r="M660" s="8">
        <v>2021</v>
      </c>
      <c r="N660" s="9">
        <v>0</v>
      </c>
      <c r="O660" s="13">
        <v>41815</v>
      </c>
      <c r="P660" s="13">
        <v>41815</v>
      </c>
    </row>
    <row r="661" spans="1:16">
      <c r="A661" s="10">
        <v>2014</v>
      </c>
      <c r="B661" s="11" t="s">
        <v>483</v>
      </c>
      <c r="C661" s="11" t="s">
        <v>484</v>
      </c>
      <c r="D661" s="12">
        <v>1015042</v>
      </c>
      <c r="E661" s="12">
        <v>2</v>
      </c>
      <c r="F661" s="12"/>
      <c r="G661" s="12">
        <v>140</v>
      </c>
      <c r="H661" s="12" t="s">
        <v>59</v>
      </c>
      <c r="I661" s="12"/>
      <c r="J661" s="12" t="s">
        <v>60</v>
      </c>
      <c r="K661" s="12" t="b">
        <v>1</v>
      </c>
      <c r="L661" s="12">
        <v>1</v>
      </c>
      <c r="M661" s="8">
        <v>2015</v>
      </c>
      <c r="N661" s="9">
        <v>0</v>
      </c>
      <c r="O661" s="13">
        <v>41815</v>
      </c>
      <c r="P661" s="13">
        <v>41815</v>
      </c>
    </row>
    <row r="662" spans="1:16">
      <c r="A662" s="10">
        <v>2014</v>
      </c>
      <c r="B662" s="11" t="s">
        <v>483</v>
      </c>
      <c r="C662" s="11" t="s">
        <v>484</v>
      </c>
      <c r="D662" s="12">
        <v>1015042</v>
      </c>
      <c r="E662" s="12">
        <v>2</v>
      </c>
      <c r="F662" s="12"/>
      <c r="G662" s="12">
        <v>10</v>
      </c>
      <c r="H662" s="12">
        <v>1</v>
      </c>
      <c r="I662" s="12" t="s">
        <v>486</v>
      </c>
      <c r="J662" s="12" t="s">
        <v>24</v>
      </c>
      <c r="K662" s="12" t="b">
        <v>1</v>
      </c>
      <c r="L662" s="12">
        <v>2</v>
      </c>
      <c r="M662" s="8">
        <v>2016</v>
      </c>
      <c r="N662" s="9">
        <v>7988465</v>
      </c>
      <c r="O662" s="13">
        <v>41815</v>
      </c>
      <c r="P662" s="13">
        <v>41815</v>
      </c>
    </row>
    <row r="663" spans="1:16">
      <c r="A663" s="10">
        <v>2014</v>
      </c>
      <c r="B663" s="11" t="s">
        <v>483</v>
      </c>
      <c r="C663" s="11" t="s">
        <v>484</v>
      </c>
      <c r="D663" s="12">
        <v>1015042</v>
      </c>
      <c r="E663" s="12">
        <v>2</v>
      </c>
      <c r="F663" s="12"/>
      <c r="G663" s="12">
        <v>10</v>
      </c>
      <c r="H663" s="12">
        <v>1</v>
      </c>
      <c r="I663" s="12" t="s">
        <v>486</v>
      </c>
      <c r="J663" s="12" t="s">
        <v>24</v>
      </c>
      <c r="K663" s="12" t="b">
        <v>1</v>
      </c>
      <c r="L663" s="12">
        <v>8</v>
      </c>
      <c r="M663" s="8">
        <v>2022</v>
      </c>
      <c r="N663" s="9">
        <v>8835653</v>
      </c>
      <c r="O663" s="13">
        <v>41815</v>
      </c>
      <c r="P663" s="13">
        <v>41815</v>
      </c>
    </row>
    <row r="664" spans="1:16">
      <c r="A664" s="10">
        <v>2014</v>
      </c>
      <c r="B664" s="11" t="s">
        <v>483</v>
      </c>
      <c r="C664" s="11" t="s">
        <v>484</v>
      </c>
      <c r="D664" s="12">
        <v>1015042</v>
      </c>
      <c r="E664" s="12">
        <v>2</v>
      </c>
      <c r="F664" s="12"/>
      <c r="G664" s="12">
        <v>10</v>
      </c>
      <c r="H664" s="12">
        <v>1</v>
      </c>
      <c r="I664" s="12" t="s">
        <v>486</v>
      </c>
      <c r="J664" s="12" t="s">
        <v>24</v>
      </c>
      <c r="K664" s="12" t="b">
        <v>1</v>
      </c>
      <c r="L664" s="12">
        <v>1</v>
      </c>
      <c r="M664" s="8">
        <v>2015</v>
      </c>
      <c r="N664" s="9">
        <v>7895743</v>
      </c>
      <c r="O664" s="13">
        <v>41815</v>
      </c>
      <c r="P664" s="13">
        <v>41815</v>
      </c>
    </row>
    <row r="665" spans="1:16">
      <c r="A665" s="10">
        <v>2014</v>
      </c>
      <c r="B665" s="11" t="s">
        <v>483</v>
      </c>
      <c r="C665" s="11" t="s">
        <v>484</v>
      </c>
      <c r="D665" s="12">
        <v>1015042</v>
      </c>
      <c r="E665" s="12">
        <v>2</v>
      </c>
      <c r="F665" s="12"/>
      <c r="G665" s="12">
        <v>10</v>
      </c>
      <c r="H665" s="12">
        <v>1</v>
      </c>
      <c r="I665" s="12" t="s">
        <v>486</v>
      </c>
      <c r="J665" s="12" t="s">
        <v>24</v>
      </c>
      <c r="K665" s="12" t="b">
        <v>1</v>
      </c>
      <c r="L665" s="12">
        <v>6</v>
      </c>
      <c r="M665" s="8">
        <v>2020</v>
      </c>
      <c r="N665" s="9">
        <v>8499749</v>
      </c>
      <c r="O665" s="13">
        <v>41815</v>
      </c>
      <c r="P665" s="13">
        <v>41815</v>
      </c>
    </row>
    <row r="666" spans="1:16">
      <c r="A666" s="10">
        <v>2014</v>
      </c>
      <c r="B666" s="11" t="s">
        <v>483</v>
      </c>
      <c r="C666" s="11" t="s">
        <v>484</v>
      </c>
      <c r="D666" s="12">
        <v>1015042</v>
      </c>
      <c r="E666" s="12">
        <v>2</v>
      </c>
      <c r="F666" s="12"/>
      <c r="G666" s="12">
        <v>10</v>
      </c>
      <c r="H666" s="12">
        <v>1</v>
      </c>
      <c r="I666" s="12" t="s">
        <v>486</v>
      </c>
      <c r="J666" s="12" t="s">
        <v>24</v>
      </c>
      <c r="K666" s="12" t="b">
        <v>1</v>
      </c>
      <c r="L666" s="12">
        <v>0</v>
      </c>
      <c r="M666" s="8">
        <v>2014</v>
      </c>
      <c r="N666" s="9">
        <v>9831848.8399999999</v>
      </c>
      <c r="O666" s="13">
        <v>41815</v>
      </c>
      <c r="P666" s="13">
        <v>41815</v>
      </c>
    </row>
    <row r="667" spans="1:16">
      <c r="A667" s="10">
        <v>2014</v>
      </c>
      <c r="B667" s="11" t="s">
        <v>483</v>
      </c>
      <c r="C667" s="11" t="s">
        <v>484</v>
      </c>
      <c r="D667" s="12">
        <v>1015042</v>
      </c>
      <c r="E667" s="12">
        <v>2</v>
      </c>
      <c r="F667" s="12"/>
      <c r="G667" s="12">
        <v>10</v>
      </c>
      <c r="H667" s="12">
        <v>1</v>
      </c>
      <c r="I667" s="12" t="s">
        <v>486</v>
      </c>
      <c r="J667" s="12" t="s">
        <v>24</v>
      </c>
      <c r="K667" s="12" t="b">
        <v>1</v>
      </c>
      <c r="L667" s="12">
        <v>3</v>
      </c>
      <c r="M667" s="8">
        <v>2017</v>
      </c>
      <c r="N667" s="9">
        <v>8053018</v>
      </c>
      <c r="O667" s="13">
        <v>41815</v>
      </c>
      <c r="P667" s="13">
        <v>41815</v>
      </c>
    </row>
    <row r="668" spans="1:16">
      <c r="A668" s="10">
        <v>2014</v>
      </c>
      <c r="B668" s="11" t="s">
        <v>483</v>
      </c>
      <c r="C668" s="11" t="s">
        <v>484</v>
      </c>
      <c r="D668" s="12">
        <v>1015042</v>
      </c>
      <c r="E668" s="12">
        <v>2</v>
      </c>
      <c r="F668" s="12"/>
      <c r="G668" s="12">
        <v>10</v>
      </c>
      <c r="H668" s="12">
        <v>1</v>
      </c>
      <c r="I668" s="12" t="s">
        <v>486</v>
      </c>
      <c r="J668" s="12" t="s">
        <v>24</v>
      </c>
      <c r="K668" s="12" t="b">
        <v>1</v>
      </c>
      <c r="L668" s="12">
        <v>4</v>
      </c>
      <c r="M668" s="8">
        <v>2018</v>
      </c>
      <c r="N668" s="9">
        <v>8194608</v>
      </c>
      <c r="O668" s="13">
        <v>41815</v>
      </c>
      <c r="P668" s="13">
        <v>41815</v>
      </c>
    </row>
    <row r="669" spans="1:16">
      <c r="A669" s="10">
        <v>2014</v>
      </c>
      <c r="B669" s="11" t="s">
        <v>483</v>
      </c>
      <c r="C669" s="11" t="s">
        <v>484</v>
      </c>
      <c r="D669" s="12">
        <v>1015042</v>
      </c>
      <c r="E669" s="12">
        <v>2</v>
      </c>
      <c r="F669" s="12"/>
      <c r="G669" s="12">
        <v>10</v>
      </c>
      <c r="H669" s="12">
        <v>1</v>
      </c>
      <c r="I669" s="12" t="s">
        <v>486</v>
      </c>
      <c r="J669" s="12" t="s">
        <v>24</v>
      </c>
      <c r="K669" s="12" t="b">
        <v>1</v>
      </c>
      <c r="L669" s="12">
        <v>5</v>
      </c>
      <c r="M669" s="8">
        <v>2019</v>
      </c>
      <c r="N669" s="9">
        <v>8343446</v>
      </c>
      <c r="O669" s="13">
        <v>41815</v>
      </c>
      <c r="P669" s="13">
        <v>41815</v>
      </c>
    </row>
    <row r="670" spans="1:16">
      <c r="A670" s="10">
        <v>2014</v>
      </c>
      <c r="B670" s="11" t="s">
        <v>483</v>
      </c>
      <c r="C670" s="11" t="s">
        <v>484</v>
      </c>
      <c r="D670" s="12">
        <v>1015042</v>
      </c>
      <c r="E670" s="12">
        <v>2</v>
      </c>
      <c r="F670" s="12"/>
      <c r="G670" s="12">
        <v>10</v>
      </c>
      <c r="H670" s="12">
        <v>1</v>
      </c>
      <c r="I670" s="12" t="s">
        <v>486</v>
      </c>
      <c r="J670" s="12" t="s">
        <v>24</v>
      </c>
      <c r="K670" s="12" t="b">
        <v>1</v>
      </c>
      <c r="L670" s="12">
        <v>7</v>
      </c>
      <c r="M670" s="8">
        <v>2021</v>
      </c>
      <c r="N670" s="9">
        <v>8663741</v>
      </c>
      <c r="O670" s="13">
        <v>41815</v>
      </c>
      <c r="P670" s="13">
        <v>41815</v>
      </c>
    </row>
    <row r="671" spans="1:16">
      <c r="A671" s="10">
        <v>2014</v>
      </c>
      <c r="B671" s="11" t="s">
        <v>483</v>
      </c>
      <c r="C671" s="11" t="s">
        <v>484</v>
      </c>
      <c r="D671" s="12">
        <v>1015042</v>
      </c>
      <c r="E671" s="12">
        <v>2</v>
      </c>
      <c r="F671" s="12"/>
      <c r="G671" s="12">
        <v>750</v>
      </c>
      <c r="H671" s="12" t="s">
        <v>111</v>
      </c>
      <c r="I671" s="12"/>
      <c r="J671" s="12" t="s">
        <v>112</v>
      </c>
      <c r="K671" s="12" t="b">
        <v>0</v>
      </c>
      <c r="L671" s="12">
        <v>8</v>
      </c>
      <c r="M671" s="8">
        <v>2022</v>
      </c>
      <c r="N671" s="9">
        <v>0</v>
      </c>
      <c r="O671" s="13">
        <v>41815</v>
      </c>
      <c r="P671" s="13">
        <v>41815</v>
      </c>
    </row>
    <row r="672" spans="1:16">
      <c r="A672" s="10">
        <v>2014</v>
      </c>
      <c r="B672" s="11" t="s">
        <v>483</v>
      </c>
      <c r="C672" s="11" t="s">
        <v>484</v>
      </c>
      <c r="D672" s="12">
        <v>1015042</v>
      </c>
      <c r="E672" s="12">
        <v>2</v>
      </c>
      <c r="F672" s="12"/>
      <c r="G672" s="12">
        <v>750</v>
      </c>
      <c r="H672" s="12" t="s">
        <v>111</v>
      </c>
      <c r="I672" s="12"/>
      <c r="J672" s="12" t="s">
        <v>112</v>
      </c>
      <c r="K672" s="12" t="b">
        <v>0</v>
      </c>
      <c r="L672" s="12">
        <v>0</v>
      </c>
      <c r="M672" s="8">
        <v>2014</v>
      </c>
      <c r="N672" s="9">
        <v>166855.70000000001</v>
      </c>
      <c r="O672" s="13">
        <v>41815</v>
      </c>
      <c r="P672" s="13">
        <v>41815</v>
      </c>
    </row>
    <row r="673" spans="1:16">
      <c r="A673" s="10">
        <v>2014</v>
      </c>
      <c r="B673" s="11" t="s">
        <v>483</v>
      </c>
      <c r="C673" s="11" t="s">
        <v>484</v>
      </c>
      <c r="D673" s="12">
        <v>1015042</v>
      </c>
      <c r="E673" s="12">
        <v>2</v>
      </c>
      <c r="F673" s="12"/>
      <c r="G673" s="12">
        <v>940</v>
      </c>
      <c r="H673" s="12">
        <v>14.4</v>
      </c>
      <c r="I673" s="12"/>
      <c r="J673" s="12" t="s">
        <v>135</v>
      </c>
      <c r="K673" s="12" t="b">
        <v>1</v>
      </c>
      <c r="L673" s="12">
        <v>2</v>
      </c>
      <c r="M673" s="8">
        <v>2016</v>
      </c>
      <c r="N673" s="9">
        <v>0</v>
      </c>
      <c r="O673" s="13">
        <v>41815</v>
      </c>
      <c r="P673" s="13">
        <v>41815</v>
      </c>
    </row>
    <row r="674" spans="1:16">
      <c r="A674" s="10">
        <v>2014</v>
      </c>
      <c r="B674" s="11" t="s">
        <v>483</v>
      </c>
      <c r="C674" s="11" t="s">
        <v>484</v>
      </c>
      <c r="D674" s="12">
        <v>1015042</v>
      </c>
      <c r="E674" s="12">
        <v>2</v>
      </c>
      <c r="F674" s="12"/>
      <c r="G674" s="12">
        <v>750</v>
      </c>
      <c r="H674" s="12" t="s">
        <v>111</v>
      </c>
      <c r="I674" s="12"/>
      <c r="J674" s="12" t="s">
        <v>112</v>
      </c>
      <c r="K674" s="12" t="b">
        <v>0</v>
      </c>
      <c r="L674" s="12">
        <v>5</v>
      </c>
      <c r="M674" s="8">
        <v>2019</v>
      </c>
      <c r="N674" s="9">
        <v>0</v>
      </c>
      <c r="O674" s="13">
        <v>41815</v>
      </c>
      <c r="P674" s="13">
        <v>41815</v>
      </c>
    </row>
    <row r="675" spans="1:16">
      <c r="A675" s="10">
        <v>2014</v>
      </c>
      <c r="B675" s="11" t="s">
        <v>483</v>
      </c>
      <c r="C675" s="11" t="s">
        <v>484</v>
      </c>
      <c r="D675" s="12">
        <v>1015042</v>
      </c>
      <c r="E675" s="12">
        <v>2</v>
      </c>
      <c r="F675" s="12"/>
      <c r="G675" s="12">
        <v>750</v>
      </c>
      <c r="H675" s="12" t="s">
        <v>111</v>
      </c>
      <c r="I675" s="12"/>
      <c r="J675" s="12" t="s">
        <v>112</v>
      </c>
      <c r="K675" s="12" t="b">
        <v>0</v>
      </c>
      <c r="L675" s="12">
        <v>3</v>
      </c>
      <c r="M675" s="8">
        <v>2017</v>
      </c>
      <c r="N675" s="9">
        <v>0</v>
      </c>
      <c r="O675" s="13">
        <v>41815</v>
      </c>
      <c r="P675" s="13">
        <v>41815</v>
      </c>
    </row>
    <row r="676" spans="1:16">
      <c r="A676" s="10">
        <v>2014</v>
      </c>
      <c r="B676" s="11" t="s">
        <v>483</v>
      </c>
      <c r="C676" s="11" t="s">
        <v>484</v>
      </c>
      <c r="D676" s="12">
        <v>1015042</v>
      </c>
      <c r="E676" s="12">
        <v>2</v>
      </c>
      <c r="F676" s="12"/>
      <c r="G676" s="12">
        <v>750</v>
      </c>
      <c r="H676" s="12" t="s">
        <v>111</v>
      </c>
      <c r="I676" s="12"/>
      <c r="J676" s="12" t="s">
        <v>112</v>
      </c>
      <c r="K676" s="12" t="b">
        <v>0</v>
      </c>
      <c r="L676" s="12">
        <v>6</v>
      </c>
      <c r="M676" s="8">
        <v>2020</v>
      </c>
      <c r="N676" s="9">
        <v>0</v>
      </c>
      <c r="O676" s="13">
        <v>41815</v>
      </c>
      <c r="P676" s="13">
        <v>41815</v>
      </c>
    </row>
    <row r="677" spans="1:16">
      <c r="A677" s="10">
        <v>2014</v>
      </c>
      <c r="B677" s="11" t="s">
        <v>483</v>
      </c>
      <c r="C677" s="11" t="s">
        <v>484</v>
      </c>
      <c r="D677" s="12">
        <v>1015042</v>
      </c>
      <c r="E677" s="12">
        <v>2</v>
      </c>
      <c r="F677" s="12"/>
      <c r="G677" s="12">
        <v>750</v>
      </c>
      <c r="H677" s="12" t="s">
        <v>111</v>
      </c>
      <c r="I677" s="12"/>
      <c r="J677" s="12" t="s">
        <v>112</v>
      </c>
      <c r="K677" s="12" t="b">
        <v>0</v>
      </c>
      <c r="L677" s="12">
        <v>4</v>
      </c>
      <c r="M677" s="8">
        <v>2018</v>
      </c>
      <c r="N677" s="9">
        <v>0</v>
      </c>
      <c r="O677" s="13">
        <v>41815</v>
      </c>
      <c r="P677" s="13">
        <v>41815</v>
      </c>
    </row>
    <row r="678" spans="1:16">
      <c r="A678" s="10">
        <v>2014</v>
      </c>
      <c r="B678" s="11" t="s">
        <v>483</v>
      </c>
      <c r="C678" s="11" t="s">
        <v>484</v>
      </c>
      <c r="D678" s="12">
        <v>1015042</v>
      </c>
      <c r="E678" s="12">
        <v>2</v>
      </c>
      <c r="F678" s="12"/>
      <c r="G678" s="12">
        <v>750</v>
      </c>
      <c r="H678" s="12" t="s">
        <v>111</v>
      </c>
      <c r="I678" s="12"/>
      <c r="J678" s="12" t="s">
        <v>112</v>
      </c>
      <c r="K678" s="12" t="b">
        <v>0</v>
      </c>
      <c r="L678" s="12">
        <v>1</v>
      </c>
      <c r="M678" s="8">
        <v>2015</v>
      </c>
      <c r="N678" s="9">
        <v>70939.199999999997</v>
      </c>
      <c r="O678" s="13">
        <v>41815</v>
      </c>
      <c r="P678" s="13">
        <v>41815</v>
      </c>
    </row>
    <row r="679" spans="1:16">
      <c r="A679" s="10">
        <v>2014</v>
      </c>
      <c r="B679" s="11" t="s">
        <v>483</v>
      </c>
      <c r="C679" s="11" t="s">
        <v>484</v>
      </c>
      <c r="D679" s="12">
        <v>1015042</v>
      </c>
      <c r="E679" s="12">
        <v>2</v>
      </c>
      <c r="F679" s="12"/>
      <c r="G679" s="12">
        <v>750</v>
      </c>
      <c r="H679" s="12" t="s">
        <v>111</v>
      </c>
      <c r="I679" s="12"/>
      <c r="J679" s="12" t="s">
        <v>112</v>
      </c>
      <c r="K679" s="12" t="b">
        <v>0</v>
      </c>
      <c r="L679" s="12">
        <v>7</v>
      </c>
      <c r="M679" s="8">
        <v>2021</v>
      </c>
      <c r="N679" s="9">
        <v>0</v>
      </c>
      <c r="O679" s="13">
        <v>41815</v>
      </c>
      <c r="P679" s="13">
        <v>41815</v>
      </c>
    </row>
    <row r="680" spans="1:16">
      <c r="A680" s="10">
        <v>2014</v>
      </c>
      <c r="B680" s="11" t="s">
        <v>483</v>
      </c>
      <c r="C680" s="11" t="s">
        <v>484</v>
      </c>
      <c r="D680" s="12">
        <v>1015042</v>
      </c>
      <c r="E680" s="12">
        <v>2</v>
      </c>
      <c r="F680" s="12"/>
      <c r="G680" s="12">
        <v>750</v>
      </c>
      <c r="H680" s="12" t="s">
        <v>111</v>
      </c>
      <c r="I680" s="12"/>
      <c r="J680" s="12" t="s">
        <v>112</v>
      </c>
      <c r="K680" s="12" t="b">
        <v>0</v>
      </c>
      <c r="L680" s="12">
        <v>2</v>
      </c>
      <c r="M680" s="8">
        <v>2016</v>
      </c>
      <c r="N680" s="9">
        <v>0</v>
      </c>
      <c r="O680" s="13">
        <v>41815</v>
      </c>
      <c r="P680" s="13">
        <v>41815</v>
      </c>
    </row>
    <row r="681" spans="1:16">
      <c r="A681" s="10">
        <v>2014</v>
      </c>
      <c r="B681" s="11" t="s">
        <v>483</v>
      </c>
      <c r="C681" s="11" t="s">
        <v>484</v>
      </c>
      <c r="D681" s="12">
        <v>1015042</v>
      </c>
      <c r="E681" s="12">
        <v>2</v>
      </c>
      <c r="F681" s="12"/>
      <c r="G681" s="12">
        <v>150</v>
      </c>
      <c r="H681" s="12" t="s">
        <v>61</v>
      </c>
      <c r="I681" s="12"/>
      <c r="J681" s="12" t="s">
        <v>358</v>
      </c>
      <c r="K681" s="12" t="b">
        <v>1</v>
      </c>
      <c r="L681" s="12">
        <v>8</v>
      </c>
      <c r="M681" s="8">
        <v>2022</v>
      </c>
      <c r="N681" s="9">
        <v>0</v>
      </c>
      <c r="O681" s="13">
        <v>41815</v>
      </c>
      <c r="P681" s="13">
        <v>41815</v>
      </c>
    </row>
    <row r="682" spans="1:16">
      <c r="A682" s="10">
        <v>2014</v>
      </c>
      <c r="B682" s="11" t="s">
        <v>483</v>
      </c>
      <c r="C682" s="11" t="s">
        <v>484</v>
      </c>
      <c r="D682" s="12">
        <v>1015042</v>
      </c>
      <c r="E682" s="12">
        <v>2</v>
      </c>
      <c r="F682" s="12"/>
      <c r="G682" s="12">
        <v>150</v>
      </c>
      <c r="H682" s="12" t="s">
        <v>61</v>
      </c>
      <c r="I682" s="12"/>
      <c r="J682" s="12" t="s">
        <v>358</v>
      </c>
      <c r="K682" s="12" t="b">
        <v>1</v>
      </c>
      <c r="L682" s="12">
        <v>4</v>
      </c>
      <c r="M682" s="8">
        <v>2018</v>
      </c>
      <c r="N682" s="9">
        <v>0</v>
      </c>
      <c r="O682" s="13">
        <v>41815</v>
      </c>
      <c r="P682" s="13">
        <v>41815</v>
      </c>
    </row>
    <row r="683" spans="1:16">
      <c r="A683" s="10">
        <v>2014</v>
      </c>
      <c r="B683" s="11" t="s">
        <v>483</v>
      </c>
      <c r="C683" s="11" t="s">
        <v>484</v>
      </c>
      <c r="D683" s="12">
        <v>1015042</v>
      </c>
      <c r="E683" s="12">
        <v>2</v>
      </c>
      <c r="F683" s="12"/>
      <c r="G683" s="12">
        <v>150</v>
      </c>
      <c r="H683" s="12" t="s">
        <v>61</v>
      </c>
      <c r="I683" s="12"/>
      <c r="J683" s="12" t="s">
        <v>358</v>
      </c>
      <c r="K683" s="12" t="b">
        <v>1</v>
      </c>
      <c r="L683" s="12">
        <v>7</v>
      </c>
      <c r="M683" s="8">
        <v>2021</v>
      </c>
      <c r="N683" s="9">
        <v>0</v>
      </c>
      <c r="O683" s="13">
        <v>41815</v>
      </c>
      <c r="P683" s="13">
        <v>41815</v>
      </c>
    </row>
    <row r="684" spans="1:16">
      <c r="A684" s="10">
        <v>2014</v>
      </c>
      <c r="B684" s="11" t="s">
        <v>483</v>
      </c>
      <c r="C684" s="11" t="s">
        <v>484</v>
      </c>
      <c r="D684" s="12">
        <v>1015042</v>
      </c>
      <c r="E684" s="12">
        <v>2</v>
      </c>
      <c r="F684" s="12"/>
      <c r="G684" s="12">
        <v>150</v>
      </c>
      <c r="H684" s="12" t="s">
        <v>61</v>
      </c>
      <c r="I684" s="12"/>
      <c r="J684" s="12" t="s">
        <v>358</v>
      </c>
      <c r="K684" s="12" t="b">
        <v>1</v>
      </c>
      <c r="L684" s="12">
        <v>3</v>
      </c>
      <c r="M684" s="8">
        <v>2017</v>
      </c>
      <c r="N684" s="9">
        <v>0</v>
      </c>
      <c r="O684" s="13">
        <v>41815</v>
      </c>
      <c r="P684" s="13">
        <v>41815</v>
      </c>
    </row>
    <row r="685" spans="1:16">
      <c r="A685" s="10">
        <v>2014</v>
      </c>
      <c r="B685" s="11" t="s">
        <v>483</v>
      </c>
      <c r="C685" s="11" t="s">
        <v>484</v>
      </c>
      <c r="D685" s="12">
        <v>1015042</v>
      </c>
      <c r="E685" s="12">
        <v>2</v>
      </c>
      <c r="F685" s="12"/>
      <c r="G685" s="12">
        <v>150</v>
      </c>
      <c r="H685" s="12" t="s">
        <v>61</v>
      </c>
      <c r="I685" s="12"/>
      <c r="J685" s="12" t="s">
        <v>358</v>
      </c>
      <c r="K685" s="12" t="b">
        <v>1</v>
      </c>
      <c r="L685" s="12">
        <v>6</v>
      </c>
      <c r="M685" s="8">
        <v>2020</v>
      </c>
      <c r="N685" s="9">
        <v>0</v>
      </c>
      <c r="O685" s="13">
        <v>41815</v>
      </c>
      <c r="P685" s="13">
        <v>41815</v>
      </c>
    </row>
    <row r="686" spans="1:16">
      <c r="A686" s="10">
        <v>2014</v>
      </c>
      <c r="B686" s="11" t="s">
        <v>483</v>
      </c>
      <c r="C686" s="11" t="s">
        <v>484</v>
      </c>
      <c r="D686" s="12">
        <v>1015042</v>
      </c>
      <c r="E686" s="12">
        <v>2</v>
      </c>
      <c r="F686" s="12"/>
      <c r="G686" s="12">
        <v>150</v>
      </c>
      <c r="H686" s="12" t="s">
        <v>61</v>
      </c>
      <c r="I686" s="12"/>
      <c r="J686" s="12" t="s">
        <v>358</v>
      </c>
      <c r="K686" s="12" t="b">
        <v>1</v>
      </c>
      <c r="L686" s="12">
        <v>2</v>
      </c>
      <c r="M686" s="8">
        <v>2016</v>
      </c>
      <c r="N686" s="9">
        <v>0</v>
      </c>
      <c r="O686" s="13">
        <v>41815</v>
      </c>
      <c r="P686" s="13">
        <v>41815</v>
      </c>
    </row>
    <row r="687" spans="1:16">
      <c r="A687" s="10">
        <v>2014</v>
      </c>
      <c r="B687" s="11" t="s">
        <v>483</v>
      </c>
      <c r="C687" s="11" t="s">
        <v>484</v>
      </c>
      <c r="D687" s="12">
        <v>1015042</v>
      </c>
      <c r="E687" s="12">
        <v>2</v>
      </c>
      <c r="F687" s="12"/>
      <c r="G687" s="12">
        <v>150</v>
      </c>
      <c r="H687" s="12" t="s">
        <v>61</v>
      </c>
      <c r="I687" s="12"/>
      <c r="J687" s="12" t="s">
        <v>358</v>
      </c>
      <c r="K687" s="12" t="b">
        <v>1</v>
      </c>
      <c r="L687" s="12">
        <v>5</v>
      </c>
      <c r="M687" s="8">
        <v>2019</v>
      </c>
      <c r="N687" s="9">
        <v>0</v>
      </c>
      <c r="O687" s="13">
        <v>41815</v>
      </c>
      <c r="P687" s="13">
        <v>41815</v>
      </c>
    </row>
    <row r="688" spans="1:16">
      <c r="A688" s="10">
        <v>2014</v>
      </c>
      <c r="B688" s="11" t="s">
        <v>483</v>
      </c>
      <c r="C688" s="11" t="s">
        <v>484</v>
      </c>
      <c r="D688" s="12">
        <v>1015042</v>
      </c>
      <c r="E688" s="12">
        <v>2</v>
      </c>
      <c r="F688" s="12"/>
      <c r="G688" s="12">
        <v>150</v>
      </c>
      <c r="H688" s="12" t="s">
        <v>61</v>
      </c>
      <c r="I688" s="12"/>
      <c r="J688" s="12" t="s">
        <v>358</v>
      </c>
      <c r="K688" s="12" t="b">
        <v>1</v>
      </c>
      <c r="L688" s="12">
        <v>0</v>
      </c>
      <c r="M688" s="8">
        <v>2014</v>
      </c>
      <c r="N688" s="9">
        <v>0</v>
      </c>
      <c r="O688" s="13">
        <v>41815</v>
      </c>
      <c r="P688" s="13">
        <v>41815</v>
      </c>
    </row>
    <row r="689" spans="1:16">
      <c r="A689" s="10">
        <v>2014</v>
      </c>
      <c r="B689" s="11" t="s">
        <v>483</v>
      </c>
      <c r="C689" s="11" t="s">
        <v>484</v>
      </c>
      <c r="D689" s="12">
        <v>1015042</v>
      </c>
      <c r="E689" s="12">
        <v>2</v>
      </c>
      <c r="F689" s="12"/>
      <c r="G689" s="12">
        <v>150</v>
      </c>
      <c r="H689" s="12" t="s">
        <v>61</v>
      </c>
      <c r="I689" s="12"/>
      <c r="J689" s="12" t="s">
        <v>358</v>
      </c>
      <c r="K689" s="12" t="b">
        <v>1</v>
      </c>
      <c r="L689" s="12">
        <v>1</v>
      </c>
      <c r="M689" s="8">
        <v>2015</v>
      </c>
      <c r="N689" s="9">
        <v>0</v>
      </c>
      <c r="O689" s="13">
        <v>41815</v>
      </c>
      <c r="P689" s="13">
        <v>41815</v>
      </c>
    </row>
    <row r="690" spans="1:16">
      <c r="A690" s="10">
        <v>2014</v>
      </c>
      <c r="B690" s="11" t="s">
        <v>483</v>
      </c>
      <c r="C690" s="11" t="s">
        <v>484</v>
      </c>
      <c r="D690" s="12">
        <v>1015042</v>
      </c>
      <c r="E690" s="12">
        <v>2</v>
      </c>
      <c r="F690" s="12"/>
      <c r="G690" s="12">
        <v>940</v>
      </c>
      <c r="H690" s="12">
        <v>14.4</v>
      </c>
      <c r="I690" s="12"/>
      <c r="J690" s="12" t="s">
        <v>135</v>
      </c>
      <c r="K690" s="12" t="b">
        <v>1</v>
      </c>
      <c r="L690" s="12">
        <v>0</v>
      </c>
      <c r="M690" s="8">
        <v>2014</v>
      </c>
      <c r="N690" s="9">
        <v>0</v>
      </c>
      <c r="O690" s="13">
        <v>41815</v>
      </c>
      <c r="P690" s="13">
        <v>41815</v>
      </c>
    </row>
    <row r="691" spans="1:16">
      <c r="A691" s="10">
        <v>2014</v>
      </c>
      <c r="B691" s="11" t="s">
        <v>483</v>
      </c>
      <c r="C691" s="11" t="s">
        <v>484</v>
      </c>
      <c r="D691" s="12">
        <v>1015042</v>
      </c>
      <c r="E691" s="12">
        <v>2</v>
      </c>
      <c r="F691" s="12"/>
      <c r="G691" s="12">
        <v>940</v>
      </c>
      <c r="H691" s="12">
        <v>14.4</v>
      </c>
      <c r="I691" s="12"/>
      <c r="J691" s="12" t="s">
        <v>135</v>
      </c>
      <c r="K691" s="12" t="b">
        <v>1</v>
      </c>
      <c r="L691" s="12">
        <v>1</v>
      </c>
      <c r="M691" s="8">
        <v>2015</v>
      </c>
      <c r="N691" s="9">
        <v>0</v>
      </c>
      <c r="O691" s="13">
        <v>41815</v>
      </c>
      <c r="P691" s="13">
        <v>41815</v>
      </c>
    </row>
    <row r="692" spans="1:16">
      <c r="A692" s="10">
        <v>2014</v>
      </c>
      <c r="B692" s="11" t="s">
        <v>483</v>
      </c>
      <c r="C692" s="11" t="s">
        <v>484</v>
      </c>
      <c r="D692" s="12">
        <v>1015042</v>
      </c>
      <c r="E692" s="12">
        <v>2</v>
      </c>
      <c r="F692" s="12"/>
      <c r="G692" s="12">
        <v>940</v>
      </c>
      <c r="H692" s="12">
        <v>14.4</v>
      </c>
      <c r="I692" s="12"/>
      <c r="J692" s="12" t="s">
        <v>135</v>
      </c>
      <c r="K692" s="12" t="b">
        <v>1</v>
      </c>
      <c r="L692" s="12">
        <v>5</v>
      </c>
      <c r="M692" s="8">
        <v>2019</v>
      </c>
      <c r="N692" s="9">
        <v>0</v>
      </c>
      <c r="O692" s="13">
        <v>41815</v>
      </c>
      <c r="P692" s="13">
        <v>41815</v>
      </c>
    </row>
    <row r="693" spans="1:16">
      <c r="A693" s="10">
        <v>2014</v>
      </c>
      <c r="B693" s="11" t="s">
        <v>483</v>
      </c>
      <c r="C693" s="11" t="s">
        <v>484</v>
      </c>
      <c r="D693" s="12">
        <v>1015042</v>
      </c>
      <c r="E693" s="12">
        <v>2</v>
      </c>
      <c r="F693" s="12"/>
      <c r="G693" s="12">
        <v>940</v>
      </c>
      <c r="H693" s="12">
        <v>14.4</v>
      </c>
      <c r="I693" s="12"/>
      <c r="J693" s="12" t="s">
        <v>135</v>
      </c>
      <c r="K693" s="12" t="b">
        <v>1</v>
      </c>
      <c r="L693" s="12">
        <v>7</v>
      </c>
      <c r="M693" s="8">
        <v>2021</v>
      </c>
      <c r="N693" s="9">
        <v>0</v>
      </c>
      <c r="O693" s="13">
        <v>41815</v>
      </c>
      <c r="P693" s="13">
        <v>41815</v>
      </c>
    </row>
    <row r="694" spans="1:16">
      <c r="A694" s="10">
        <v>2014</v>
      </c>
      <c r="B694" s="11" t="s">
        <v>483</v>
      </c>
      <c r="C694" s="11" t="s">
        <v>484</v>
      </c>
      <c r="D694" s="12">
        <v>1015042</v>
      </c>
      <c r="E694" s="12">
        <v>2</v>
      </c>
      <c r="F694" s="12"/>
      <c r="G694" s="12">
        <v>940</v>
      </c>
      <c r="H694" s="12">
        <v>14.4</v>
      </c>
      <c r="I694" s="12"/>
      <c r="J694" s="12" t="s">
        <v>135</v>
      </c>
      <c r="K694" s="12" t="b">
        <v>1</v>
      </c>
      <c r="L694" s="12">
        <v>4</v>
      </c>
      <c r="M694" s="8">
        <v>2018</v>
      </c>
      <c r="N694" s="9">
        <v>0</v>
      </c>
      <c r="O694" s="13">
        <v>41815</v>
      </c>
      <c r="P694" s="13">
        <v>41815</v>
      </c>
    </row>
    <row r="695" spans="1:16">
      <c r="A695" s="10">
        <v>2014</v>
      </c>
      <c r="B695" s="11" t="s">
        <v>483</v>
      </c>
      <c r="C695" s="11" t="s">
        <v>484</v>
      </c>
      <c r="D695" s="12">
        <v>1015042</v>
      </c>
      <c r="E695" s="12">
        <v>2</v>
      </c>
      <c r="F695" s="12"/>
      <c r="G695" s="12">
        <v>940</v>
      </c>
      <c r="H695" s="12">
        <v>14.4</v>
      </c>
      <c r="I695" s="12"/>
      <c r="J695" s="12" t="s">
        <v>135</v>
      </c>
      <c r="K695" s="12" t="b">
        <v>1</v>
      </c>
      <c r="L695" s="12">
        <v>6</v>
      </c>
      <c r="M695" s="8">
        <v>2020</v>
      </c>
      <c r="N695" s="9">
        <v>0</v>
      </c>
      <c r="O695" s="13">
        <v>41815</v>
      </c>
      <c r="P695" s="13">
        <v>41815</v>
      </c>
    </row>
    <row r="696" spans="1:16">
      <c r="A696" s="10">
        <v>2014</v>
      </c>
      <c r="B696" s="11" t="s">
        <v>483</v>
      </c>
      <c r="C696" s="11" t="s">
        <v>484</v>
      </c>
      <c r="D696" s="12">
        <v>1015042</v>
      </c>
      <c r="E696" s="12">
        <v>2</v>
      </c>
      <c r="F696" s="12"/>
      <c r="G696" s="12">
        <v>940</v>
      </c>
      <c r="H696" s="12">
        <v>14.4</v>
      </c>
      <c r="I696" s="12"/>
      <c r="J696" s="12" t="s">
        <v>135</v>
      </c>
      <c r="K696" s="12" t="b">
        <v>1</v>
      </c>
      <c r="L696" s="12">
        <v>3</v>
      </c>
      <c r="M696" s="8">
        <v>2017</v>
      </c>
      <c r="N696" s="9">
        <v>0</v>
      </c>
      <c r="O696" s="13">
        <v>41815</v>
      </c>
      <c r="P696" s="13">
        <v>41815</v>
      </c>
    </row>
    <row r="697" spans="1:16">
      <c r="A697" s="10">
        <v>2014</v>
      </c>
      <c r="B697" s="11" t="s">
        <v>483</v>
      </c>
      <c r="C697" s="11" t="s">
        <v>484</v>
      </c>
      <c r="D697" s="12">
        <v>1015042</v>
      </c>
      <c r="E697" s="12">
        <v>2</v>
      </c>
      <c r="F697" s="12"/>
      <c r="G697" s="12">
        <v>190</v>
      </c>
      <c r="H697" s="12">
        <v>2.2000000000000002</v>
      </c>
      <c r="I697" s="12"/>
      <c r="J697" s="12" t="s">
        <v>65</v>
      </c>
      <c r="K697" s="12" t="b">
        <v>0</v>
      </c>
      <c r="L697" s="12">
        <v>1</v>
      </c>
      <c r="M697" s="8">
        <v>2015</v>
      </c>
      <c r="N697" s="9">
        <v>233127</v>
      </c>
      <c r="O697" s="13">
        <v>41815</v>
      </c>
      <c r="P697" s="13">
        <v>41815</v>
      </c>
    </row>
    <row r="698" spans="1:16">
      <c r="A698" s="10">
        <v>2014</v>
      </c>
      <c r="B698" s="11" t="s">
        <v>483</v>
      </c>
      <c r="C698" s="11" t="s">
        <v>484</v>
      </c>
      <c r="D698" s="12">
        <v>1015042</v>
      </c>
      <c r="E698" s="12">
        <v>2</v>
      </c>
      <c r="F698" s="12"/>
      <c r="G698" s="12">
        <v>190</v>
      </c>
      <c r="H698" s="12">
        <v>2.2000000000000002</v>
      </c>
      <c r="I698" s="12"/>
      <c r="J698" s="12" t="s">
        <v>65</v>
      </c>
      <c r="K698" s="12" t="b">
        <v>0</v>
      </c>
      <c r="L698" s="12">
        <v>6</v>
      </c>
      <c r="M698" s="8">
        <v>2020</v>
      </c>
      <c r="N698" s="9">
        <v>527594</v>
      </c>
      <c r="O698" s="13">
        <v>41815</v>
      </c>
      <c r="P698" s="13">
        <v>41815</v>
      </c>
    </row>
    <row r="699" spans="1:16">
      <c r="A699" s="10">
        <v>2014</v>
      </c>
      <c r="B699" s="11" t="s">
        <v>483</v>
      </c>
      <c r="C699" s="11" t="s">
        <v>484</v>
      </c>
      <c r="D699" s="12">
        <v>1015042</v>
      </c>
      <c r="E699" s="12">
        <v>2</v>
      </c>
      <c r="F699" s="12"/>
      <c r="G699" s="12">
        <v>190</v>
      </c>
      <c r="H699" s="12">
        <v>2.2000000000000002</v>
      </c>
      <c r="I699" s="12"/>
      <c r="J699" s="12" t="s">
        <v>65</v>
      </c>
      <c r="K699" s="12" t="b">
        <v>0</v>
      </c>
      <c r="L699" s="12">
        <v>4</v>
      </c>
      <c r="M699" s="8">
        <v>2018</v>
      </c>
      <c r="N699" s="9">
        <v>370906</v>
      </c>
      <c r="O699" s="13">
        <v>41815</v>
      </c>
      <c r="P699" s="13">
        <v>41815</v>
      </c>
    </row>
    <row r="700" spans="1:16">
      <c r="A700" s="10">
        <v>2014</v>
      </c>
      <c r="B700" s="11" t="s">
        <v>483</v>
      </c>
      <c r="C700" s="11" t="s">
        <v>484</v>
      </c>
      <c r="D700" s="12">
        <v>1015042</v>
      </c>
      <c r="E700" s="12">
        <v>2</v>
      </c>
      <c r="F700" s="12"/>
      <c r="G700" s="12">
        <v>190</v>
      </c>
      <c r="H700" s="12">
        <v>2.2000000000000002</v>
      </c>
      <c r="I700" s="12"/>
      <c r="J700" s="12" t="s">
        <v>65</v>
      </c>
      <c r="K700" s="12" t="b">
        <v>0</v>
      </c>
      <c r="L700" s="12">
        <v>7</v>
      </c>
      <c r="M700" s="8">
        <v>2021</v>
      </c>
      <c r="N700" s="9">
        <v>713383</v>
      </c>
      <c r="O700" s="13">
        <v>41815</v>
      </c>
      <c r="P700" s="13">
        <v>41815</v>
      </c>
    </row>
    <row r="701" spans="1:16">
      <c r="A701" s="10">
        <v>2014</v>
      </c>
      <c r="B701" s="11" t="s">
        <v>483</v>
      </c>
      <c r="C701" s="11" t="s">
        <v>484</v>
      </c>
      <c r="D701" s="12">
        <v>1015042</v>
      </c>
      <c r="E701" s="12">
        <v>2</v>
      </c>
      <c r="F701" s="12"/>
      <c r="G701" s="12">
        <v>190</v>
      </c>
      <c r="H701" s="12">
        <v>2.2000000000000002</v>
      </c>
      <c r="I701" s="12"/>
      <c r="J701" s="12" t="s">
        <v>65</v>
      </c>
      <c r="K701" s="12" t="b">
        <v>0</v>
      </c>
      <c r="L701" s="12">
        <v>3</v>
      </c>
      <c r="M701" s="8">
        <v>2017</v>
      </c>
      <c r="N701" s="9">
        <v>258917</v>
      </c>
      <c r="O701" s="13">
        <v>41815</v>
      </c>
      <c r="P701" s="13">
        <v>41815</v>
      </c>
    </row>
    <row r="702" spans="1:16">
      <c r="A702" s="10">
        <v>2014</v>
      </c>
      <c r="B702" s="11" t="s">
        <v>483</v>
      </c>
      <c r="C702" s="11" t="s">
        <v>484</v>
      </c>
      <c r="D702" s="12">
        <v>1015042</v>
      </c>
      <c r="E702" s="12">
        <v>2</v>
      </c>
      <c r="F702" s="12"/>
      <c r="G702" s="12">
        <v>190</v>
      </c>
      <c r="H702" s="12">
        <v>2.2000000000000002</v>
      </c>
      <c r="I702" s="12"/>
      <c r="J702" s="12" t="s">
        <v>65</v>
      </c>
      <c r="K702" s="12" t="b">
        <v>0</v>
      </c>
      <c r="L702" s="12">
        <v>2</v>
      </c>
      <c r="M702" s="8">
        <v>2016</v>
      </c>
      <c r="N702" s="9">
        <v>351615</v>
      </c>
      <c r="O702" s="13">
        <v>41815</v>
      </c>
      <c r="P702" s="13">
        <v>41815</v>
      </c>
    </row>
    <row r="703" spans="1:16">
      <c r="A703" s="10">
        <v>2014</v>
      </c>
      <c r="B703" s="11" t="s">
        <v>483</v>
      </c>
      <c r="C703" s="11" t="s">
        <v>484</v>
      </c>
      <c r="D703" s="12">
        <v>1015042</v>
      </c>
      <c r="E703" s="12">
        <v>2</v>
      </c>
      <c r="F703" s="12"/>
      <c r="G703" s="12">
        <v>190</v>
      </c>
      <c r="H703" s="12">
        <v>2.2000000000000002</v>
      </c>
      <c r="I703" s="12"/>
      <c r="J703" s="12" t="s">
        <v>65</v>
      </c>
      <c r="K703" s="12" t="b">
        <v>0</v>
      </c>
      <c r="L703" s="12">
        <v>8</v>
      </c>
      <c r="M703" s="8">
        <v>2022</v>
      </c>
      <c r="N703" s="9">
        <v>814694.85</v>
      </c>
      <c r="O703" s="13">
        <v>41815</v>
      </c>
      <c r="P703" s="13">
        <v>41815</v>
      </c>
    </row>
    <row r="704" spans="1:16">
      <c r="A704" s="10">
        <v>2014</v>
      </c>
      <c r="B704" s="11" t="s">
        <v>483</v>
      </c>
      <c r="C704" s="11" t="s">
        <v>484</v>
      </c>
      <c r="D704" s="12">
        <v>1015042</v>
      </c>
      <c r="E704" s="12">
        <v>2</v>
      </c>
      <c r="F704" s="12"/>
      <c r="G704" s="12">
        <v>190</v>
      </c>
      <c r="H704" s="12">
        <v>2.2000000000000002</v>
      </c>
      <c r="I704" s="12"/>
      <c r="J704" s="12" t="s">
        <v>65</v>
      </c>
      <c r="K704" s="12" t="b">
        <v>0</v>
      </c>
      <c r="L704" s="12">
        <v>5</v>
      </c>
      <c r="M704" s="8">
        <v>2019</v>
      </c>
      <c r="N704" s="9">
        <v>447490</v>
      </c>
      <c r="O704" s="13">
        <v>41815</v>
      </c>
      <c r="P704" s="13">
        <v>41815</v>
      </c>
    </row>
    <row r="705" spans="1:16">
      <c r="A705" s="10">
        <v>2014</v>
      </c>
      <c r="B705" s="11" t="s">
        <v>483</v>
      </c>
      <c r="C705" s="11" t="s">
        <v>484</v>
      </c>
      <c r="D705" s="12">
        <v>1015042</v>
      </c>
      <c r="E705" s="12">
        <v>2</v>
      </c>
      <c r="F705" s="12"/>
      <c r="G705" s="12">
        <v>190</v>
      </c>
      <c r="H705" s="12">
        <v>2.2000000000000002</v>
      </c>
      <c r="I705" s="12"/>
      <c r="J705" s="12" t="s">
        <v>65</v>
      </c>
      <c r="K705" s="12" t="b">
        <v>0</v>
      </c>
      <c r="L705" s="12">
        <v>0</v>
      </c>
      <c r="M705" s="8">
        <v>2014</v>
      </c>
      <c r="N705" s="9">
        <v>2923803</v>
      </c>
      <c r="O705" s="13">
        <v>41815</v>
      </c>
      <c r="P705" s="13">
        <v>41815</v>
      </c>
    </row>
    <row r="706" spans="1:16">
      <c r="A706" s="10">
        <v>2014</v>
      </c>
      <c r="B706" s="11" t="s">
        <v>483</v>
      </c>
      <c r="C706" s="11" t="s">
        <v>484</v>
      </c>
      <c r="D706" s="12">
        <v>1015042</v>
      </c>
      <c r="E706" s="12">
        <v>2</v>
      </c>
      <c r="F706" s="12"/>
      <c r="G706" s="12">
        <v>810</v>
      </c>
      <c r="H706" s="12">
        <v>13.2</v>
      </c>
      <c r="I706" s="12"/>
      <c r="J706" s="12" t="s">
        <v>120</v>
      </c>
      <c r="K706" s="12" t="b">
        <v>1</v>
      </c>
      <c r="L706" s="12">
        <v>0</v>
      </c>
      <c r="M706" s="8">
        <v>2014</v>
      </c>
      <c r="N706" s="9">
        <v>0</v>
      </c>
      <c r="O706" s="13">
        <v>41815</v>
      </c>
      <c r="P706" s="13">
        <v>41815</v>
      </c>
    </row>
    <row r="707" spans="1:16">
      <c r="A707" s="10">
        <v>2014</v>
      </c>
      <c r="B707" s="11" t="s">
        <v>483</v>
      </c>
      <c r="C707" s="11" t="s">
        <v>484</v>
      </c>
      <c r="D707" s="12">
        <v>1015042</v>
      </c>
      <c r="E707" s="12">
        <v>2</v>
      </c>
      <c r="F707" s="12"/>
      <c r="G707" s="12">
        <v>810</v>
      </c>
      <c r="H707" s="12">
        <v>13.2</v>
      </c>
      <c r="I707" s="12"/>
      <c r="J707" s="12" t="s">
        <v>120</v>
      </c>
      <c r="K707" s="12" t="b">
        <v>1</v>
      </c>
      <c r="L707" s="12">
        <v>6</v>
      </c>
      <c r="M707" s="8">
        <v>2020</v>
      </c>
      <c r="N707" s="9">
        <v>0</v>
      </c>
      <c r="O707" s="13">
        <v>41815</v>
      </c>
      <c r="P707" s="13">
        <v>41815</v>
      </c>
    </row>
    <row r="708" spans="1:16">
      <c r="A708" s="10">
        <v>2014</v>
      </c>
      <c r="B708" s="11" t="s">
        <v>483</v>
      </c>
      <c r="C708" s="11" t="s">
        <v>484</v>
      </c>
      <c r="D708" s="12">
        <v>1015042</v>
      </c>
      <c r="E708" s="12">
        <v>2</v>
      </c>
      <c r="F708" s="12"/>
      <c r="G708" s="12">
        <v>810</v>
      </c>
      <c r="H708" s="12">
        <v>13.2</v>
      </c>
      <c r="I708" s="12"/>
      <c r="J708" s="12" t="s">
        <v>120</v>
      </c>
      <c r="K708" s="12" t="b">
        <v>1</v>
      </c>
      <c r="L708" s="12">
        <v>7</v>
      </c>
      <c r="M708" s="8">
        <v>2021</v>
      </c>
      <c r="N708" s="9">
        <v>0</v>
      </c>
      <c r="O708" s="13">
        <v>41815</v>
      </c>
      <c r="P708" s="13">
        <v>41815</v>
      </c>
    </row>
    <row r="709" spans="1:16">
      <c r="A709" s="10">
        <v>2014</v>
      </c>
      <c r="B709" s="11" t="s">
        <v>483</v>
      </c>
      <c r="C709" s="11" t="s">
        <v>484</v>
      </c>
      <c r="D709" s="12">
        <v>1015042</v>
      </c>
      <c r="E709" s="12">
        <v>2</v>
      </c>
      <c r="F709" s="12"/>
      <c r="G709" s="12">
        <v>810</v>
      </c>
      <c r="H709" s="12">
        <v>13.2</v>
      </c>
      <c r="I709" s="12"/>
      <c r="J709" s="12" t="s">
        <v>120</v>
      </c>
      <c r="K709" s="12" t="b">
        <v>1</v>
      </c>
      <c r="L709" s="12">
        <v>4</v>
      </c>
      <c r="M709" s="8">
        <v>2018</v>
      </c>
      <c r="N709" s="9">
        <v>0</v>
      </c>
      <c r="O709" s="13">
        <v>41815</v>
      </c>
      <c r="P709" s="13">
        <v>41815</v>
      </c>
    </row>
    <row r="710" spans="1:16">
      <c r="A710" s="10">
        <v>2014</v>
      </c>
      <c r="B710" s="11" t="s">
        <v>483</v>
      </c>
      <c r="C710" s="11" t="s">
        <v>484</v>
      </c>
      <c r="D710" s="12">
        <v>1015042</v>
      </c>
      <c r="E710" s="12">
        <v>2</v>
      </c>
      <c r="F710" s="12"/>
      <c r="G710" s="12">
        <v>810</v>
      </c>
      <c r="H710" s="12">
        <v>13.2</v>
      </c>
      <c r="I710" s="12"/>
      <c r="J710" s="12" t="s">
        <v>120</v>
      </c>
      <c r="K710" s="12" t="b">
        <v>1</v>
      </c>
      <c r="L710" s="12">
        <v>3</v>
      </c>
      <c r="M710" s="8">
        <v>2017</v>
      </c>
      <c r="N710" s="9">
        <v>0</v>
      </c>
      <c r="O710" s="13">
        <v>41815</v>
      </c>
      <c r="P710" s="13">
        <v>41815</v>
      </c>
    </row>
    <row r="711" spans="1:16">
      <c r="A711" s="10">
        <v>2014</v>
      </c>
      <c r="B711" s="11" t="s">
        <v>483</v>
      </c>
      <c r="C711" s="11" t="s">
        <v>484</v>
      </c>
      <c r="D711" s="12">
        <v>1015042</v>
      </c>
      <c r="E711" s="12">
        <v>2</v>
      </c>
      <c r="F711" s="12"/>
      <c r="G711" s="12">
        <v>810</v>
      </c>
      <c r="H711" s="12">
        <v>13.2</v>
      </c>
      <c r="I711" s="12"/>
      <c r="J711" s="12" t="s">
        <v>120</v>
      </c>
      <c r="K711" s="12" t="b">
        <v>1</v>
      </c>
      <c r="L711" s="12">
        <v>1</v>
      </c>
      <c r="M711" s="8">
        <v>2015</v>
      </c>
      <c r="N711" s="9">
        <v>0</v>
      </c>
      <c r="O711" s="13">
        <v>41815</v>
      </c>
      <c r="P711" s="13">
        <v>41815</v>
      </c>
    </row>
    <row r="712" spans="1:16">
      <c r="A712" s="10">
        <v>2014</v>
      </c>
      <c r="B712" s="11" t="s">
        <v>483</v>
      </c>
      <c r="C712" s="11" t="s">
        <v>484</v>
      </c>
      <c r="D712" s="12">
        <v>1015042</v>
      </c>
      <c r="E712" s="12">
        <v>2</v>
      </c>
      <c r="F712" s="12"/>
      <c r="G712" s="12">
        <v>810</v>
      </c>
      <c r="H712" s="12">
        <v>13.2</v>
      </c>
      <c r="I712" s="12"/>
      <c r="J712" s="12" t="s">
        <v>120</v>
      </c>
      <c r="K712" s="12" t="b">
        <v>1</v>
      </c>
      <c r="L712" s="12">
        <v>5</v>
      </c>
      <c r="M712" s="8">
        <v>2019</v>
      </c>
      <c r="N712" s="9">
        <v>0</v>
      </c>
      <c r="O712" s="13">
        <v>41815</v>
      </c>
      <c r="P712" s="13">
        <v>41815</v>
      </c>
    </row>
    <row r="713" spans="1:16">
      <c r="A713" s="10">
        <v>2014</v>
      </c>
      <c r="B713" s="11" t="s">
        <v>483</v>
      </c>
      <c r="C713" s="11" t="s">
        <v>484</v>
      </c>
      <c r="D713" s="12">
        <v>1015042</v>
      </c>
      <c r="E713" s="12">
        <v>2</v>
      </c>
      <c r="F713" s="12"/>
      <c r="G713" s="12">
        <v>810</v>
      </c>
      <c r="H713" s="12">
        <v>13.2</v>
      </c>
      <c r="I713" s="12"/>
      <c r="J713" s="12" t="s">
        <v>120</v>
      </c>
      <c r="K713" s="12" t="b">
        <v>1</v>
      </c>
      <c r="L713" s="12">
        <v>2</v>
      </c>
      <c r="M713" s="8">
        <v>2016</v>
      </c>
      <c r="N713" s="9">
        <v>0</v>
      </c>
      <c r="O713" s="13">
        <v>41815</v>
      </c>
      <c r="P713" s="13">
        <v>41815</v>
      </c>
    </row>
    <row r="714" spans="1:16">
      <c r="A714" s="10">
        <v>2014</v>
      </c>
      <c r="B714" s="11" t="s">
        <v>483</v>
      </c>
      <c r="C714" s="11" t="s">
        <v>484</v>
      </c>
      <c r="D714" s="12">
        <v>1015042</v>
      </c>
      <c r="E714" s="12">
        <v>2</v>
      </c>
      <c r="F714" s="12"/>
      <c r="G714" s="12">
        <v>810</v>
      </c>
      <c r="H714" s="12">
        <v>13.2</v>
      </c>
      <c r="I714" s="12"/>
      <c r="J714" s="12" t="s">
        <v>120</v>
      </c>
      <c r="K714" s="12" t="b">
        <v>1</v>
      </c>
      <c r="L714" s="12">
        <v>8</v>
      </c>
      <c r="M714" s="8">
        <v>2022</v>
      </c>
      <c r="N714" s="9">
        <v>0</v>
      </c>
      <c r="O714" s="13">
        <v>41815</v>
      </c>
      <c r="P714" s="13">
        <v>41815</v>
      </c>
    </row>
    <row r="715" spans="1:16">
      <c r="A715" s="10">
        <v>2014</v>
      </c>
      <c r="B715" s="11" t="s">
        <v>483</v>
      </c>
      <c r="C715" s="11" t="s">
        <v>484</v>
      </c>
      <c r="D715" s="12">
        <v>1015042</v>
      </c>
      <c r="E715" s="12">
        <v>2</v>
      </c>
      <c r="F715" s="12"/>
      <c r="G715" s="12">
        <v>100</v>
      </c>
      <c r="H715" s="12" t="s">
        <v>54</v>
      </c>
      <c r="I715" s="12"/>
      <c r="J715" s="12" t="s">
        <v>55</v>
      </c>
      <c r="K715" s="12" t="b">
        <v>1</v>
      </c>
      <c r="L715" s="12">
        <v>8</v>
      </c>
      <c r="M715" s="8">
        <v>2022</v>
      </c>
      <c r="N715" s="9">
        <v>0</v>
      </c>
      <c r="O715" s="13">
        <v>41815</v>
      </c>
      <c r="P715" s="13">
        <v>41815</v>
      </c>
    </row>
    <row r="716" spans="1:16">
      <c r="A716" s="10">
        <v>2014</v>
      </c>
      <c r="B716" s="11" t="s">
        <v>483</v>
      </c>
      <c r="C716" s="11" t="s">
        <v>484</v>
      </c>
      <c r="D716" s="12">
        <v>1015042</v>
      </c>
      <c r="E716" s="12">
        <v>2</v>
      </c>
      <c r="F716" s="12"/>
      <c r="G716" s="12">
        <v>100</v>
      </c>
      <c r="H716" s="12" t="s">
        <v>54</v>
      </c>
      <c r="I716" s="12"/>
      <c r="J716" s="12" t="s">
        <v>55</v>
      </c>
      <c r="K716" s="12" t="b">
        <v>1</v>
      </c>
      <c r="L716" s="12">
        <v>4</v>
      </c>
      <c r="M716" s="8">
        <v>2018</v>
      </c>
      <c r="N716" s="9">
        <v>0</v>
      </c>
      <c r="O716" s="13">
        <v>41815</v>
      </c>
      <c r="P716" s="13">
        <v>41815</v>
      </c>
    </row>
    <row r="717" spans="1:16">
      <c r="A717" s="10">
        <v>2014</v>
      </c>
      <c r="B717" s="11" t="s">
        <v>483</v>
      </c>
      <c r="C717" s="11" t="s">
        <v>484</v>
      </c>
      <c r="D717" s="12">
        <v>1015042</v>
      </c>
      <c r="E717" s="12">
        <v>2</v>
      </c>
      <c r="F717" s="12"/>
      <c r="G717" s="12">
        <v>100</v>
      </c>
      <c r="H717" s="12" t="s">
        <v>54</v>
      </c>
      <c r="I717" s="12"/>
      <c r="J717" s="12" t="s">
        <v>55</v>
      </c>
      <c r="K717" s="12" t="b">
        <v>1</v>
      </c>
      <c r="L717" s="12">
        <v>3</v>
      </c>
      <c r="M717" s="8">
        <v>2017</v>
      </c>
      <c r="N717" s="9">
        <v>0</v>
      </c>
      <c r="O717" s="13">
        <v>41815</v>
      </c>
      <c r="P717" s="13">
        <v>41815</v>
      </c>
    </row>
    <row r="718" spans="1:16">
      <c r="A718" s="10">
        <v>2014</v>
      </c>
      <c r="B718" s="11" t="s">
        <v>483</v>
      </c>
      <c r="C718" s="11" t="s">
        <v>484</v>
      </c>
      <c r="D718" s="12">
        <v>1015042</v>
      </c>
      <c r="E718" s="12">
        <v>2</v>
      </c>
      <c r="F718" s="12"/>
      <c r="G718" s="12">
        <v>480</v>
      </c>
      <c r="H718" s="12">
        <v>9.1999999999999993</v>
      </c>
      <c r="I718" s="12" t="s">
        <v>381</v>
      </c>
      <c r="J718" s="12" t="s">
        <v>382</v>
      </c>
      <c r="K718" s="12" t="b">
        <v>0</v>
      </c>
      <c r="L718" s="12">
        <v>1</v>
      </c>
      <c r="M718" s="8">
        <v>2015</v>
      </c>
      <c r="N718" s="9">
        <v>7.4700000000000003E-2</v>
      </c>
      <c r="O718" s="13">
        <v>41815</v>
      </c>
      <c r="P718" s="13">
        <v>41815</v>
      </c>
    </row>
    <row r="719" spans="1:16">
      <c r="A719" s="10">
        <v>2014</v>
      </c>
      <c r="B719" s="11" t="s">
        <v>483</v>
      </c>
      <c r="C719" s="11" t="s">
        <v>484</v>
      </c>
      <c r="D719" s="12">
        <v>1015042</v>
      </c>
      <c r="E719" s="12">
        <v>2</v>
      </c>
      <c r="F719" s="12"/>
      <c r="G719" s="12">
        <v>480</v>
      </c>
      <c r="H719" s="12">
        <v>9.1999999999999993</v>
      </c>
      <c r="I719" s="12" t="s">
        <v>381</v>
      </c>
      <c r="J719" s="12" t="s">
        <v>382</v>
      </c>
      <c r="K719" s="12" t="b">
        <v>0</v>
      </c>
      <c r="L719" s="12">
        <v>7</v>
      </c>
      <c r="M719" s="8">
        <v>2021</v>
      </c>
      <c r="N719" s="9">
        <v>1.2699999999999999E-2</v>
      </c>
      <c r="O719" s="13">
        <v>41815</v>
      </c>
      <c r="P719" s="13">
        <v>41815</v>
      </c>
    </row>
    <row r="720" spans="1:16">
      <c r="A720" s="10">
        <v>2014</v>
      </c>
      <c r="B720" s="11" t="s">
        <v>483</v>
      </c>
      <c r="C720" s="11" t="s">
        <v>484</v>
      </c>
      <c r="D720" s="12">
        <v>1015042</v>
      </c>
      <c r="E720" s="12">
        <v>2</v>
      </c>
      <c r="F720" s="12"/>
      <c r="G720" s="12">
        <v>480</v>
      </c>
      <c r="H720" s="12">
        <v>9.1999999999999993</v>
      </c>
      <c r="I720" s="12" t="s">
        <v>381</v>
      </c>
      <c r="J720" s="12" t="s">
        <v>382</v>
      </c>
      <c r="K720" s="12" t="b">
        <v>0</v>
      </c>
      <c r="L720" s="12">
        <v>6</v>
      </c>
      <c r="M720" s="8">
        <v>2020</v>
      </c>
      <c r="N720" s="9">
        <v>3.1E-2</v>
      </c>
      <c r="O720" s="13">
        <v>41815</v>
      </c>
      <c r="P720" s="13">
        <v>41815</v>
      </c>
    </row>
    <row r="721" spans="1:16">
      <c r="A721" s="10">
        <v>2014</v>
      </c>
      <c r="B721" s="11" t="s">
        <v>483</v>
      </c>
      <c r="C721" s="11" t="s">
        <v>484</v>
      </c>
      <c r="D721" s="12">
        <v>1015042</v>
      </c>
      <c r="E721" s="12">
        <v>2</v>
      </c>
      <c r="F721" s="12"/>
      <c r="G721" s="12">
        <v>480</v>
      </c>
      <c r="H721" s="12">
        <v>9.1999999999999993</v>
      </c>
      <c r="I721" s="12" t="s">
        <v>381</v>
      </c>
      <c r="J721" s="12" t="s">
        <v>382</v>
      </c>
      <c r="K721" s="12" t="b">
        <v>0</v>
      </c>
      <c r="L721" s="12">
        <v>8</v>
      </c>
      <c r="M721" s="8">
        <v>2022</v>
      </c>
      <c r="N721" s="9">
        <v>4.5999999999999999E-3</v>
      </c>
      <c r="O721" s="13">
        <v>41815</v>
      </c>
      <c r="P721" s="13">
        <v>41815</v>
      </c>
    </row>
    <row r="722" spans="1:16">
      <c r="A722" s="10">
        <v>2014</v>
      </c>
      <c r="B722" s="11" t="s">
        <v>483</v>
      </c>
      <c r="C722" s="11" t="s">
        <v>484</v>
      </c>
      <c r="D722" s="12">
        <v>1015042</v>
      </c>
      <c r="E722" s="12">
        <v>2</v>
      </c>
      <c r="F722" s="12"/>
      <c r="G722" s="12">
        <v>480</v>
      </c>
      <c r="H722" s="12">
        <v>9.1999999999999993</v>
      </c>
      <c r="I722" s="12" t="s">
        <v>381</v>
      </c>
      <c r="J722" s="12" t="s">
        <v>382</v>
      </c>
      <c r="K722" s="12" t="b">
        <v>0</v>
      </c>
      <c r="L722" s="12">
        <v>0</v>
      </c>
      <c r="M722" s="8">
        <v>2014</v>
      </c>
      <c r="N722" s="9">
        <v>5.2999999999999999E-2</v>
      </c>
      <c r="O722" s="13">
        <v>41815</v>
      </c>
      <c r="P722" s="13">
        <v>41815</v>
      </c>
    </row>
    <row r="723" spans="1:16">
      <c r="A723" s="10">
        <v>2014</v>
      </c>
      <c r="B723" s="11" t="s">
        <v>483</v>
      </c>
      <c r="C723" s="11" t="s">
        <v>484</v>
      </c>
      <c r="D723" s="12">
        <v>1015042</v>
      </c>
      <c r="E723" s="12">
        <v>2</v>
      </c>
      <c r="F723" s="12"/>
      <c r="G723" s="12">
        <v>480</v>
      </c>
      <c r="H723" s="12">
        <v>9.1999999999999993</v>
      </c>
      <c r="I723" s="12" t="s">
        <v>381</v>
      </c>
      <c r="J723" s="12" t="s">
        <v>382</v>
      </c>
      <c r="K723" s="12" t="b">
        <v>0</v>
      </c>
      <c r="L723" s="12">
        <v>5</v>
      </c>
      <c r="M723" s="8">
        <v>2019</v>
      </c>
      <c r="N723" s="9">
        <v>3.8899999999999997E-2</v>
      </c>
      <c r="O723" s="13">
        <v>41815</v>
      </c>
      <c r="P723" s="13">
        <v>41815</v>
      </c>
    </row>
    <row r="724" spans="1:16">
      <c r="A724" s="10">
        <v>2014</v>
      </c>
      <c r="B724" s="11" t="s">
        <v>483</v>
      </c>
      <c r="C724" s="11" t="s">
        <v>484</v>
      </c>
      <c r="D724" s="12">
        <v>1015042</v>
      </c>
      <c r="E724" s="12">
        <v>2</v>
      </c>
      <c r="F724" s="12"/>
      <c r="G724" s="12">
        <v>480</v>
      </c>
      <c r="H724" s="12">
        <v>9.1999999999999993</v>
      </c>
      <c r="I724" s="12" t="s">
        <v>381</v>
      </c>
      <c r="J724" s="12" t="s">
        <v>382</v>
      </c>
      <c r="K724" s="12" t="b">
        <v>0</v>
      </c>
      <c r="L724" s="12">
        <v>2</v>
      </c>
      <c r="M724" s="8">
        <v>2016</v>
      </c>
      <c r="N724" s="9">
        <v>6.9500000000000006E-2</v>
      </c>
      <c r="O724" s="13">
        <v>41815</v>
      </c>
      <c r="P724" s="13">
        <v>41815</v>
      </c>
    </row>
    <row r="725" spans="1:16">
      <c r="A725" s="10">
        <v>2014</v>
      </c>
      <c r="B725" s="11" t="s">
        <v>483</v>
      </c>
      <c r="C725" s="11" t="s">
        <v>484</v>
      </c>
      <c r="D725" s="12">
        <v>1015042</v>
      </c>
      <c r="E725" s="12">
        <v>2</v>
      </c>
      <c r="F725" s="12"/>
      <c r="G725" s="12">
        <v>480</v>
      </c>
      <c r="H725" s="12">
        <v>9.1999999999999993</v>
      </c>
      <c r="I725" s="12" t="s">
        <v>381</v>
      </c>
      <c r="J725" s="12" t="s">
        <v>382</v>
      </c>
      <c r="K725" s="12" t="b">
        <v>0</v>
      </c>
      <c r="L725" s="12">
        <v>3</v>
      </c>
      <c r="M725" s="8">
        <v>2017</v>
      </c>
      <c r="N725" s="9">
        <v>6.0400000000000002E-2</v>
      </c>
      <c r="O725" s="13">
        <v>41815</v>
      </c>
      <c r="P725" s="13">
        <v>41815</v>
      </c>
    </row>
    <row r="726" spans="1:16">
      <c r="A726" s="10">
        <v>2014</v>
      </c>
      <c r="B726" s="11" t="s">
        <v>483</v>
      </c>
      <c r="C726" s="11" t="s">
        <v>484</v>
      </c>
      <c r="D726" s="12">
        <v>1015042</v>
      </c>
      <c r="E726" s="12">
        <v>2</v>
      </c>
      <c r="F726" s="12"/>
      <c r="G726" s="12">
        <v>480</v>
      </c>
      <c r="H726" s="12">
        <v>9.1999999999999993</v>
      </c>
      <c r="I726" s="12" t="s">
        <v>381</v>
      </c>
      <c r="J726" s="12" t="s">
        <v>382</v>
      </c>
      <c r="K726" s="12" t="b">
        <v>0</v>
      </c>
      <c r="L726" s="12">
        <v>4</v>
      </c>
      <c r="M726" s="8">
        <v>2018</v>
      </c>
      <c r="N726" s="9">
        <v>4.6800000000000001E-2</v>
      </c>
      <c r="O726" s="13">
        <v>41815</v>
      </c>
      <c r="P726" s="13">
        <v>41815</v>
      </c>
    </row>
    <row r="727" spans="1:16">
      <c r="A727" s="10">
        <v>2014</v>
      </c>
      <c r="B727" s="11" t="s">
        <v>483</v>
      </c>
      <c r="C727" s="11" t="s">
        <v>484</v>
      </c>
      <c r="D727" s="12">
        <v>1015042</v>
      </c>
      <c r="E727" s="12">
        <v>2</v>
      </c>
      <c r="F727" s="12"/>
      <c r="G727" s="12">
        <v>100</v>
      </c>
      <c r="H727" s="12" t="s">
        <v>54</v>
      </c>
      <c r="I727" s="12"/>
      <c r="J727" s="12" t="s">
        <v>55</v>
      </c>
      <c r="K727" s="12" t="b">
        <v>1</v>
      </c>
      <c r="L727" s="12">
        <v>1</v>
      </c>
      <c r="M727" s="8">
        <v>2015</v>
      </c>
      <c r="N727" s="9">
        <v>0</v>
      </c>
      <c r="O727" s="13">
        <v>41815</v>
      </c>
      <c r="P727" s="13">
        <v>41815</v>
      </c>
    </row>
    <row r="728" spans="1:16">
      <c r="A728" s="10">
        <v>2014</v>
      </c>
      <c r="B728" s="11" t="s">
        <v>483</v>
      </c>
      <c r="C728" s="11" t="s">
        <v>484</v>
      </c>
      <c r="D728" s="12">
        <v>1015042</v>
      </c>
      <c r="E728" s="12">
        <v>2</v>
      </c>
      <c r="F728" s="12"/>
      <c r="G728" s="12">
        <v>100</v>
      </c>
      <c r="H728" s="12" t="s">
        <v>54</v>
      </c>
      <c r="I728" s="12"/>
      <c r="J728" s="12" t="s">
        <v>55</v>
      </c>
      <c r="K728" s="12" t="b">
        <v>1</v>
      </c>
      <c r="L728" s="12">
        <v>5</v>
      </c>
      <c r="M728" s="8">
        <v>2019</v>
      </c>
      <c r="N728" s="9">
        <v>0</v>
      </c>
      <c r="O728" s="13">
        <v>41815</v>
      </c>
      <c r="P728" s="13">
        <v>41815</v>
      </c>
    </row>
    <row r="729" spans="1:16">
      <c r="A729" s="10">
        <v>2014</v>
      </c>
      <c r="B729" s="11" t="s">
        <v>483</v>
      </c>
      <c r="C729" s="11" t="s">
        <v>484</v>
      </c>
      <c r="D729" s="12">
        <v>1015042</v>
      </c>
      <c r="E729" s="12">
        <v>2</v>
      </c>
      <c r="F729" s="12"/>
      <c r="G729" s="12">
        <v>100</v>
      </c>
      <c r="H729" s="12" t="s">
        <v>54</v>
      </c>
      <c r="I729" s="12"/>
      <c r="J729" s="12" t="s">
        <v>55</v>
      </c>
      <c r="K729" s="12" t="b">
        <v>1</v>
      </c>
      <c r="L729" s="12">
        <v>0</v>
      </c>
      <c r="M729" s="8">
        <v>2014</v>
      </c>
      <c r="N729" s="9">
        <v>190000</v>
      </c>
      <c r="O729" s="13">
        <v>41815</v>
      </c>
      <c r="P729" s="13">
        <v>41815</v>
      </c>
    </row>
    <row r="730" spans="1:16">
      <c r="A730" s="10">
        <v>2014</v>
      </c>
      <c r="B730" s="11" t="s">
        <v>483</v>
      </c>
      <c r="C730" s="11" t="s">
        <v>484</v>
      </c>
      <c r="D730" s="12">
        <v>1015042</v>
      </c>
      <c r="E730" s="12">
        <v>2</v>
      </c>
      <c r="F730" s="12"/>
      <c r="G730" s="12">
        <v>100</v>
      </c>
      <c r="H730" s="12" t="s">
        <v>54</v>
      </c>
      <c r="I730" s="12"/>
      <c r="J730" s="12" t="s">
        <v>55</v>
      </c>
      <c r="K730" s="12" t="b">
        <v>1</v>
      </c>
      <c r="L730" s="12">
        <v>7</v>
      </c>
      <c r="M730" s="8">
        <v>2021</v>
      </c>
      <c r="N730" s="9">
        <v>0</v>
      </c>
      <c r="O730" s="13">
        <v>41815</v>
      </c>
      <c r="P730" s="13">
        <v>41815</v>
      </c>
    </row>
    <row r="731" spans="1:16">
      <c r="A731" s="10">
        <v>2014</v>
      </c>
      <c r="B731" s="11" t="s">
        <v>483</v>
      </c>
      <c r="C731" s="11" t="s">
        <v>484</v>
      </c>
      <c r="D731" s="12">
        <v>1015042</v>
      </c>
      <c r="E731" s="12">
        <v>2</v>
      </c>
      <c r="F731" s="12"/>
      <c r="G731" s="12">
        <v>100</v>
      </c>
      <c r="H731" s="12" t="s">
        <v>54</v>
      </c>
      <c r="I731" s="12"/>
      <c r="J731" s="12" t="s">
        <v>55</v>
      </c>
      <c r="K731" s="12" t="b">
        <v>1</v>
      </c>
      <c r="L731" s="12">
        <v>6</v>
      </c>
      <c r="M731" s="8">
        <v>2020</v>
      </c>
      <c r="N731" s="9">
        <v>0</v>
      </c>
      <c r="O731" s="13">
        <v>41815</v>
      </c>
      <c r="P731" s="13">
        <v>41815</v>
      </c>
    </row>
    <row r="732" spans="1:16">
      <c r="A732" s="10">
        <v>2014</v>
      </c>
      <c r="B732" s="11" t="s">
        <v>483</v>
      </c>
      <c r="C732" s="11" t="s">
        <v>484</v>
      </c>
      <c r="D732" s="12">
        <v>1015042</v>
      </c>
      <c r="E732" s="12">
        <v>2</v>
      </c>
      <c r="F732" s="12"/>
      <c r="G732" s="12">
        <v>100</v>
      </c>
      <c r="H732" s="12" t="s">
        <v>54</v>
      </c>
      <c r="I732" s="12"/>
      <c r="J732" s="12" t="s">
        <v>55</v>
      </c>
      <c r="K732" s="12" t="b">
        <v>1</v>
      </c>
      <c r="L732" s="12">
        <v>2</v>
      </c>
      <c r="M732" s="8">
        <v>2016</v>
      </c>
      <c r="N732" s="9">
        <v>0</v>
      </c>
      <c r="O732" s="13">
        <v>41815</v>
      </c>
      <c r="P732" s="13">
        <v>41815</v>
      </c>
    </row>
    <row r="733" spans="1:16">
      <c r="A733" s="10">
        <v>2014</v>
      </c>
      <c r="B733" s="11" t="s">
        <v>483</v>
      </c>
      <c r="C733" s="11" t="s">
        <v>484</v>
      </c>
      <c r="D733" s="12">
        <v>1015042</v>
      </c>
      <c r="E733" s="12">
        <v>2</v>
      </c>
      <c r="F733" s="12"/>
      <c r="G733" s="12">
        <v>770</v>
      </c>
      <c r="H733" s="12" t="s">
        <v>409</v>
      </c>
      <c r="I733" s="12"/>
      <c r="J733" s="12" t="s">
        <v>400</v>
      </c>
      <c r="K733" s="12" t="b">
        <v>1</v>
      </c>
      <c r="L733" s="12">
        <v>1</v>
      </c>
      <c r="M733" s="8">
        <v>2015</v>
      </c>
      <c r="N733" s="9">
        <v>0</v>
      </c>
      <c r="O733" s="13">
        <v>41815</v>
      </c>
      <c r="P733" s="13">
        <v>41815</v>
      </c>
    </row>
    <row r="734" spans="1:16">
      <c r="A734" s="10">
        <v>2014</v>
      </c>
      <c r="B734" s="11" t="s">
        <v>483</v>
      </c>
      <c r="C734" s="11" t="s">
        <v>484</v>
      </c>
      <c r="D734" s="12">
        <v>1015042</v>
      </c>
      <c r="E734" s="12">
        <v>2</v>
      </c>
      <c r="F734" s="12"/>
      <c r="G734" s="12">
        <v>770</v>
      </c>
      <c r="H734" s="12" t="s">
        <v>409</v>
      </c>
      <c r="I734" s="12"/>
      <c r="J734" s="12" t="s">
        <v>400</v>
      </c>
      <c r="K734" s="12" t="b">
        <v>1</v>
      </c>
      <c r="L734" s="12">
        <v>3</v>
      </c>
      <c r="M734" s="8">
        <v>2017</v>
      </c>
      <c r="N734" s="9">
        <v>0</v>
      </c>
      <c r="O734" s="13">
        <v>41815</v>
      </c>
      <c r="P734" s="13">
        <v>41815</v>
      </c>
    </row>
    <row r="735" spans="1:16">
      <c r="A735" s="10">
        <v>2014</v>
      </c>
      <c r="B735" s="11" t="s">
        <v>483</v>
      </c>
      <c r="C735" s="11" t="s">
        <v>484</v>
      </c>
      <c r="D735" s="12">
        <v>1015042</v>
      </c>
      <c r="E735" s="12">
        <v>2</v>
      </c>
      <c r="F735" s="12"/>
      <c r="G735" s="12">
        <v>770</v>
      </c>
      <c r="H735" s="12" t="s">
        <v>409</v>
      </c>
      <c r="I735" s="12"/>
      <c r="J735" s="12" t="s">
        <v>400</v>
      </c>
      <c r="K735" s="12" t="b">
        <v>1</v>
      </c>
      <c r="L735" s="12">
        <v>6</v>
      </c>
      <c r="M735" s="8">
        <v>2020</v>
      </c>
      <c r="N735" s="9">
        <v>0</v>
      </c>
      <c r="O735" s="13">
        <v>41815</v>
      </c>
      <c r="P735" s="13">
        <v>41815</v>
      </c>
    </row>
    <row r="736" spans="1:16">
      <c r="A736" s="10">
        <v>2014</v>
      </c>
      <c r="B736" s="11" t="s">
        <v>483</v>
      </c>
      <c r="C736" s="11" t="s">
        <v>484</v>
      </c>
      <c r="D736" s="12">
        <v>1015042</v>
      </c>
      <c r="E736" s="12">
        <v>2</v>
      </c>
      <c r="F736" s="12"/>
      <c r="G736" s="12">
        <v>770</v>
      </c>
      <c r="H736" s="12" t="s">
        <v>409</v>
      </c>
      <c r="I736" s="12"/>
      <c r="J736" s="12" t="s">
        <v>400</v>
      </c>
      <c r="K736" s="12" t="b">
        <v>1</v>
      </c>
      <c r="L736" s="12">
        <v>8</v>
      </c>
      <c r="M736" s="8">
        <v>2022</v>
      </c>
      <c r="N736" s="9">
        <v>0</v>
      </c>
      <c r="O736" s="13">
        <v>41815</v>
      </c>
      <c r="P736" s="13">
        <v>41815</v>
      </c>
    </row>
    <row r="737" spans="1:16">
      <c r="A737" s="10">
        <v>2014</v>
      </c>
      <c r="B737" s="11" t="s">
        <v>483</v>
      </c>
      <c r="C737" s="11" t="s">
        <v>484</v>
      </c>
      <c r="D737" s="12">
        <v>1015042</v>
      </c>
      <c r="E737" s="12">
        <v>2</v>
      </c>
      <c r="F737" s="12"/>
      <c r="G737" s="12">
        <v>770</v>
      </c>
      <c r="H737" s="12" t="s">
        <v>409</v>
      </c>
      <c r="I737" s="12"/>
      <c r="J737" s="12" t="s">
        <v>400</v>
      </c>
      <c r="K737" s="12" t="b">
        <v>1</v>
      </c>
      <c r="L737" s="12">
        <v>4</v>
      </c>
      <c r="M737" s="8">
        <v>2018</v>
      </c>
      <c r="N737" s="9">
        <v>0</v>
      </c>
      <c r="O737" s="13">
        <v>41815</v>
      </c>
      <c r="P737" s="13">
        <v>41815</v>
      </c>
    </row>
    <row r="738" spans="1:16">
      <c r="A738" s="10">
        <v>2014</v>
      </c>
      <c r="B738" s="11" t="s">
        <v>483</v>
      </c>
      <c r="C738" s="11" t="s">
        <v>484</v>
      </c>
      <c r="D738" s="12">
        <v>1015042</v>
      </c>
      <c r="E738" s="12">
        <v>2</v>
      </c>
      <c r="F738" s="12"/>
      <c r="G738" s="12">
        <v>770</v>
      </c>
      <c r="H738" s="12" t="s">
        <v>409</v>
      </c>
      <c r="I738" s="12"/>
      <c r="J738" s="12" t="s">
        <v>400</v>
      </c>
      <c r="K738" s="12" t="b">
        <v>1</v>
      </c>
      <c r="L738" s="12">
        <v>5</v>
      </c>
      <c r="M738" s="8">
        <v>2019</v>
      </c>
      <c r="N738" s="9">
        <v>0</v>
      </c>
      <c r="O738" s="13">
        <v>41815</v>
      </c>
      <c r="P738" s="13">
        <v>41815</v>
      </c>
    </row>
    <row r="739" spans="1:16">
      <c r="A739" s="10">
        <v>2014</v>
      </c>
      <c r="B739" s="11" t="s">
        <v>483</v>
      </c>
      <c r="C739" s="11" t="s">
        <v>484</v>
      </c>
      <c r="D739" s="12">
        <v>1015042</v>
      </c>
      <c r="E739" s="12">
        <v>2</v>
      </c>
      <c r="F739" s="12"/>
      <c r="G739" s="12">
        <v>770</v>
      </c>
      <c r="H739" s="12" t="s">
        <v>409</v>
      </c>
      <c r="I739" s="12"/>
      <c r="J739" s="12" t="s">
        <v>400</v>
      </c>
      <c r="K739" s="12" t="b">
        <v>1</v>
      </c>
      <c r="L739" s="12">
        <v>2</v>
      </c>
      <c r="M739" s="8">
        <v>2016</v>
      </c>
      <c r="N739" s="9">
        <v>0</v>
      </c>
      <c r="O739" s="13">
        <v>41815</v>
      </c>
      <c r="P739" s="13">
        <v>41815</v>
      </c>
    </row>
    <row r="740" spans="1:16">
      <c r="A740" s="10">
        <v>2014</v>
      </c>
      <c r="B740" s="11" t="s">
        <v>483</v>
      </c>
      <c r="C740" s="11" t="s">
        <v>484</v>
      </c>
      <c r="D740" s="12">
        <v>1015042</v>
      </c>
      <c r="E740" s="12">
        <v>2</v>
      </c>
      <c r="F740" s="12"/>
      <c r="G740" s="12">
        <v>770</v>
      </c>
      <c r="H740" s="12" t="s">
        <v>409</v>
      </c>
      <c r="I740" s="12"/>
      <c r="J740" s="12" t="s">
        <v>400</v>
      </c>
      <c r="K740" s="12" t="b">
        <v>1</v>
      </c>
      <c r="L740" s="12">
        <v>7</v>
      </c>
      <c r="M740" s="8">
        <v>2021</v>
      </c>
      <c r="N740" s="9">
        <v>0</v>
      </c>
      <c r="O740" s="13">
        <v>41815</v>
      </c>
      <c r="P740" s="13">
        <v>41815</v>
      </c>
    </row>
    <row r="741" spans="1:16">
      <c r="A741" s="10">
        <v>2014</v>
      </c>
      <c r="B741" s="11" t="s">
        <v>483</v>
      </c>
      <c r="C741" s="11" t="s">
        <v>484</v>
      </c>
      <c r="D741" s="12">
        <v>1015042</v>
      </c>
      <c r="E741" s="12">
        <v>2</v>
      </c>
      <c r="F741" s="12"/>
      <c r="G741" s="12">
        <v>770</v>
      </c>
      <c r="H741" s="12" t="s">
        <v>409</v>
      </c>
      <c r="I741" s="12"/>
      <c r="J741" s="12" t="s">
        <v>400</v>
      </c>
      <c r="K741" s="12" t="b">
        <v>1</v>
      </c>
      <c r="L741" s="12">
        <v>0</v>
      </c>
      <c r="M741" s="8">
        <v>2014</v>
      </c>
      <c r="N741" s="9">
        <v>0</v>
      </c>
      <c r="O741" s="13">
        <v>41815</v>
      </c>
      <c r="P741" s="13">
        <v>41815</v>
      </c>
    </row>
    <row r="742" spans="1:16">
      <c r="A742" s="10">
        <v>2014</v>
      </c>
      <c r="B742" s="11" t="s">
        <v>483</v>
      </c>
      <c r="C742" s="11" t="s">
        <v>484</v>
      </c>
      <c r="D742" s="12">
        <v>1015042</v>
      </c>
      <c r="E742" s="12">
        <v>2</v>
      </c>
      <c r="F742" s="12"/>
      <c r="G742" s="12">
        <v>336</v>
      </c>
      <c r="H742" s="12" t="s">
        <v>374</v>
      </c>
      <c r="I742" s="12"/>
      <c r="J742" s="12" t="s">
        <v>375</v>
      </c>
      <c r="K742" s="12" t="b">
        <v>1</v>
      </c>
      <c r="L742" s="12">
        <v>0</v>
      </c>
      <c r="M742" s="8">
        <v>2014</v>
      </c>
      <c r="N742" s="9">
        <v>0</v>
      </c>
      <c r="O742" s="13">
        <v>41815</v>
      </c>
      <c r="P742" s="13">
        <v>41815</v>
      </c>
    </row>
    <row r="743" spans="1:16">
      <c r="A743" s="10">
        <v>2014</v>
      </c>
      <c r="B743" s="11" t="s">
        <v>483</v>
      </c>
      <c r="C743" s="11" t="s">
        <v>484</v>
      </c>
      <c r="D743" s="12">
        <v>1015042</v>
      </c>
      <c r="E743" s="12">
        <v>2</v>
      </c>
      <c r="F743" s="12"/>
      <c r="G743" s="12">
        <v>336</v>
      </c>
      <c r="H743" s="12" t="s">
        <v>374</v>
      </c>
      <c r="I743" s="12"/>
      <c r="J743" s="12" t="s">
        <v>375</v>
      </c>
      <c r="K743" s="12" t="b">
        <v>1</v>
      </c>
      <c r="L743" s="12">
        <v>3</v>
      </c>
      <c r="M743" s="8">
        <v>2017</v>
      </c>
      <c r="N743" s="9">
        <v>0</v>
      </c>
      <c r="O743" s="13">
        <v>41815</v>
      </c>
      <c r="P743" s="13">
        <v>41815</v>
      </c>
    </row>
    <row r="744" spans="1:16">
      <c r="A744" s="10">
        <v>2014</v>
      </c>
      <c r="B744" s="11" t="s">
        <v>483</v>
      </c>
      <c r="C744" s="11" t="s">
        <v>484</v>
      </c>
      <c r="D744" s="12">
        <v>1015042</v>
      </c>
      <c r="E744" s="12">
        <v>2</v>
      </c>
      <c r="F744" s="12"/>
      <c r="G744" s="12">
        <v>336</v>
      </c>
      <c r="H744" s="12" t="s">
        <v>374</v>
      </c>
      <c r="I744" s="12"/>
      <c r="J744" s="12" t="s">
        <v>375</v>
      </c>
      <c r="K744" s="12" t="b">
        <v>1</v>
      </c>
      <c r="L744" s="12">
        <v>6</v>
      </c>
      <c r="M744" s="8">
        <v>2020</v>
      </c>
      <c r="N744" s="9">
        <v>0</v>
      </c>
      <c r="O744" s="13">
        <v>41815</v>
      </c>
      <c r="P744" s="13">
        <v>41815</v>
      </c>
    </row>
    <row r="745" spans="1:16">
      <c r="A745" s="10">
        <v>2014</v>
      </c>
      <c r="B745" s="11" t="s">
        <v>483</v>
      </c>
      <c r="C745" s="11" t="s">
        <v>484</v>
      </c>
      <c r="D745" s="12">
        <v>1015042</v>
      </c>
      <c r="E745" s="12">
        <v>2</v>
      </c>
      <c r="F745" s="12"/>
      <c r="G745" s="12">
        <v>336</v>
      </c>
      <c r="H745" s="12" t="s">
        <v>374</v>
      </c>
      <c r="I745" s="12"/>
      <c r="J745" s="12" t="s">
        <v>375</v>
      </c>
      <c r="K745" s="12" t="b">
        <v>1</v>
      </c>
      <c r="L745" s="12">
        <v>7</v>
      </c>
      <c r="M745" s="8">
        <v>2021</v>
      </c>
      <c r="N745" s="9">
        <v>0</v>
      </c>
      <c r="O745" s="13">
        <v>41815</v>
      </c>
      <c r="P745" s="13">
        <v>41815</v>
      </c>
    </row>
    <row r="746" spans="1:16">
      <c r="A746" s="10">
        <v>2014</v>
      </c>
      <c r="B746" s="11" t="s">
        <v>483</v>
      </c>
      <c r="C746" s="11" t="s">
        <v>484</v>
      </c>
      <c r="D746" s="12">
        <v>1015042</v>
      </c>
      <c r="E746" s="12">
        <v>2</v>
      </c>
      <c r="F746" s="12"/>
      <c r="G746" s="12">
        <v>336</v>
      </c>
      <c r="H746" s="12" t="s">
        <v>374</v>
      </c>
      <c r="I746" s="12"/>
      <c r="J746" s="12" t="s">
        <v>375</v>
      </c>
      <c r="K746" s="12" t="b">
        <v>1</v>
      </c>
      <c r="L746" s="12">
        <v>8</v>
      </c>
      <c r="M746" s="8">
        <v>2022</v>
      </c>
      <c r="N746" s="9">
        <v>0</v>
      </c>
      <c r="O746" s="13">
        <v>41815</v>
      </c>
      <c r="P746" s="13">
        <v>41815</v>
      </c>
    </row>
    <row r="747" spans="1:16">
      <c r="A747" s="10">
        <v>2014</v>
      </c>
      <c r="B747" s="11" t="s">
        <v>483</v>
      </c>
      <c r="C747" s="11" t="s">
        <v>484</v>
      </c>
      <c r="D747" s="12">
        <v>1015042</v>
      </c>
      <c r="E747" s="12">
        <v>2</v>
      </c>
      <c r="F747" s="12"/>
      <c r="G747" s="12">
        <v>336</v>
      </c>
      <c r="H747" s="12" t="s">
        <v>374</v>
      </c>
      <c r="I747" s="12"/>
      <c r="J747" s="12" t="s">
        <v>375</v>
      </c>
      <c r="K747" s="12" t="b">
        <v>1</v>
      </c>
      <c r="L747" s="12">
        <v>5</v>
      </c>
      <c r="M747" s="8">
        <v>2019</v>
      </c>
      <c r="N747" s="9">
        <v>0</v>
      </c>
      <c r="O747" s="13">
        <v>41815</v>
      </c>
      <c r="P747" s="13">
        <v>41815</v>
      </c>
    </row>
    <row r="748" spans="1:16">
      <c r="A748" s="10">
        <v>2014</v>
      </c>
      <c r="B748" s="11" t="s">
        <v>483</v>
      </c>
      <c r="C748" s="11" t="s">
        <v>484</v>
      </c>
      <c r="D748" s="12">
        <v>1015042</v>
      </c>
      <c r="E748" s="12">
        <v>2</v>
      </c>
      <c r="F748" s="12"/>
      <c r="G748" s="12">
        <v>336</v>
      </c>
      <c r="H748" s="12" t="s">
        <v>374</v>
      </c>
      <c r="I748" s="12"/>
      <c r="J748" s="12" t="s">
        <v>375</v>
      </c>
      <c r="K748" s="12" t="b">
        <v>1</v>
      </c>
      <c r="L748" s="12">
        <v>1</v>
      </c>
      <c r="M748" s="8">
        <v>2015</v>
      </c>
      <c r="N748" s="9">
        <v>0</v>
      </c>
      <c r="O748" s="13">
        <v>41815</v>
      </c>
      <c r="P748" s="13">
        <v>41815</v>
      </c>
    </row>
    <row r="749" spans="1:16">
      <c r="A749" s="10">
        <v>2014</v>
      </c>
      <c r="B749" s="11" t="s">
        <v>483</v>
      </c>
      <c r="C749" s="11" t="s">
        <v>484</v>
      </c>
      <c r="D749" s="12">
        <v>1015042</v>
      </c>
      <c r="E749" s="12">
        <v>2</v>
      </c>
      <c r="F749" s="12"/>
      <c r="G749" s="12">
        <v>336</v>
      </c>
      <c r="H749" s="12" t="s">
        <v>374</v>
      </c>
      <c r="I749" s="12"/>
      <c r="J749" s="12" t="s">
        <v>375</v>
      </c>
      <c r="K749" s="12" t="b">
        <v>1</v>
      </c>
      <c r="L749" s="12">
        <v>4</v>
      </c>
      <c r="M749" s="8">
        <v>2018</v>
      </c>
      <c r="N749" s="9">
        <v>0</v>
      </c>
      <c r="O749" s="13">
        <v>41815</v>
      </c>
      <c r="P749" s="13">
        <v>41815</v>
      </c>
    </row>
    <row r="750" spans="1:16">
      <c r="A750" s="10">
        <v>2014</v>
      </c>
      <c r="B750" s="11" t="s">
        <v>483</v>
      </c>
      <c r="C750" s="11" t="s">
        <v>484</v>
      </c>
      <c r="D750" s="12">
        <v>1015042</v>
      </c>
      <c r="E750" s="12">
        <v>2</v>
      </c>
      <c r="F750" s="12"/>
      <c r="G750" s="12">
        <v>336</v>
      </c>
      <c r="H750" s="12" t="s">
        <v>374</v>
      </c>
      <c r="I750" s="12"/>
      <c r="J750" s="12" t="s">
        <v>375</v>
      </c>
      <c r="K750" s="12" t="b">
        <v>1</v>
      </c>
      <c r="L750" s="12">
        <v>2</v>
      </c>
      <c r="M750" s="8">
        <v>2016</v>
      </c>
      <c r="N750" s="9">
        <v>0</v>
      </c>
      <c r="O750" s="13">
        <v>41815</v>
      </c>
      <c r="P750" s="13">
        <v>41815</v>
      </c>
    </row>
    <row r="751" spans="1:16">
      <c r="A751" s="10">
        <v>2014</v>
      </c>
      <c r="B751" s="11" t="s">
        <v>483</v>
      </c>
      <c r="C751" s="11" t="s">
        <v>484</v>
      </c>
      <c r="D751" s="12">
        <v>1015042</v>
      </c>
      <c r="E751" s="12">
        <v>2</v>
      </c>
      <c r="F751" s="12"/>
      <c r="G751" s="12">
        <v>890</v>
      </c>
      <c r="H751" s="12">
        <v>14.2</v>
      </c>
      <c r="I751" s="12"/>
      <c r="J751" s="12" t="s">
        <v>128</v>
      </c>
      <c r="K751" s="12" t="b">
        <v>1</v>
      </c>
      <c r="L751" s="12">
        <v>6</v>
      </c>
      <c r="M751" s="8">
        <v>2020</v>
      </c>
      <c r="N751" s="9">
        <v>0</v>
      </c>
      <c r="O751" s="13">
        <v>41815</v>
      </c>
      <c r="P751" s="13">
        <v>41815</v>
      </c>
    </row>
    <row r="752" spans="1:16">
      <c r="A752" s="10">
        <v>2014</v>
      </c>
      <c r="B752" s="11" t="s">
        <v>483</v>
      </c>
      <c r="C752" s="11" t="s">
        <v>484</v>
      </c>
      <c r="D752" s="12">
        <v>1015042</v>
      </c>
      <c r="E752" s="12">
        <v>2</v>
      </c>
      <c r="F752" s="12"/>
      <c r="G752" s="12">
        <v>890</v>
      </c>
      <c r="H752" s="12">
        <v>14.2</v>
      </c>
      <c r="I752" s="12"/>
      <c r="J752" s="12" t="s">
        <v>128</v>
      </c>
      <c r="K752" s="12" t="b">
        <v>1</v>
      </c>
      <c r="L752" s="12">
        <v>8</v>
      </c>
      <c r="M752" s="8">
        <v>2022</v>
      </c>
      <c r="N752" s="9">
        <v>0</v>
      </c>
      <c r="O752" s="13">
        <v>41815</v>
      </c>
      <c r="P752" s="13">
        <v>41815</v>
      </c>
    </row>
    <row r="753" spans="1:16">
      <c r="A753" s="10">
        <v>2014</v>
      </c>
      <c r="B753" s="11" t="s">
        <v>483</v>
      </c>
      <c r="C753" s="11" t="s">
        <v>484</v>
      </c>
      <c r="D753" s="12">
        <v>1015042</v>
      </c>
      <c r="E753" s="12">
        <v>2</v>
      </c>
      <c r="F753" s="12"/>
      <c r="G753" s="12">
        <v>890</v>
      </c>
      <c r="H753" s="12">
        <v>14.2</v>
      </c>
      <c r="I753" s="12"/>
      <c r="J753" s="12" t="s">
        <v>128</v>
      </c>
      <c r="K753" s="12" t="b">
        <v>1</v>
      </c>
      <c r="L753" s="12">
        <v>4</v>
      </c>
      <c r="M753" s="8">
        <v>2018</v>
      </c>
      <c r="N753" s="9">
        <v>0</v>
      </c>
      <c r="O753" s="13">
        <v>41815</v>
      </c>
      <c r="P753" s="13">
        <v>41815</v>
      </c>
    </row>
    <row r="754" spans="1:16">
      <c r="A754" s="10">
        <v>2014</v>
      </c>
      <c r="B754" s="11" t="s">
        <v>483</v>
      </c>
      <c r="C754" s="11" t="s">
        <v>484</v>
      </c>
      <c r="D754" s="12">
        <v>1015042</v>
      </c>
      <c r="E754" s="12">
        <v>2</v>
      </c>
      <c r="F754" s="12"/>
      <c r="G754" s="12">
        <v>890</v>
      </c>
      <c r="H754" s="12">
        <v>14.2</v>
      </c>
      <c r="I754" s="12"/>
      <c r="J754" s="12" t="s">
        <v>128</v>
      </c>
      <c r="K754" s="12" t="b">
        <v>1</v>
      </c>
      <c r="L754" s="12">
        <v>3</v>
      </c>
      <c r="M754" s="8">
        <v>2017</v>
      </c>
      <c r="N754" s="9">
        <v>0</v>
      </c>
      <c r="O754" s="13">
        <v>41815</v>
      </c>
      <c r="P754" s="13">
        <v>41815</v>
      </c>
    </row>
    <row r="755" spans="1:16">
      <c r="A755" s="10">
        <v>2014</v>
      </c>
      <c r="B755" s="11" t="s">
        <v>483</v>
      </c>
      <c r="C755" s="11" t="s">
        <v>484</v>
      </c>
      <c r="D755" s="12">
        <v>1015042</v>
      </c>
      <c r="E755" s="12">
        <v>2</v>
      </c>
      <c r="F755" s="12"/>
      <c r="G755" s="12">
        <v>890</v>
      </c>
      <c r="H755" s="12">
        <v>14.2</v>
      </c>
      <c r="I755" s="12"/>
      <c r="J755" s="12" t="s">
        <v>128</v>
      </c>
      <c r="K755" s="12" t="b">
        <v>1</v>
      </c>
      <c r="L755" s="12">
        <v>7</v>
      </c>
      <c r="M755" s="8">
        <v>2021</v>
      </c>
      <c r="N755" s="9">
        <v>0</v>
      </c>
      <c r="O755" s="13">
        <v>41815</v>
      </c>
      <c r="P755" s="13">
        <v>41815</v>
      </c>
    </row>
    <row r="756" spans="1:16">
      <c r="A756" s="10">
        <v>2014</v>
      </c>
      <c r="B756" s="11" t="s">
        <v>483</v>
      </c>
      <c r="C756" s="11" t="s">
        <v>484</v>
      </c>
      <c r="D756" s="12">
        <v>1015042</v>
      </c>
      <c r="E756" s="12">
        <v>2</v>
      </c>
      <c r="F756" s="12"/>
      <c r="G756" s="12">
        <v>890</v>
      </c>
      <c r="H756" s="12">
        <v>14.2</v>
      </c>
      <c r="I756" s="12"/>
      <c r="J756" s="12" t="s">
        <v>128</v>
      </c>
      <c r="K756" s="12" t="b">
        <v>1</v>
      </c>
      <c r="L756" s="12">
        <v>2</v>
      </c>
      <c r="M756" s="8">
        <v>2016</v>
      </c>
      <c r="N756" s="9">
        <v>0</v>
      </c>
      <c r="O756" s="13">
        <v>41815</v>
      </c>
      <c r="P756" s="13">
        <v>41815</v>
      </c>
    </row>
    <row r="757" spans="1:16">
      <c r="A757" s="10">
        <v>2014</v>
      </c>
      <c r="B757" s="11" t="s">
        <v>483</v>
      </c>
      <c r="C757" s="11" t="s">
        <v>484</v>
      </c>
      <c r="D757" s="12">
        <v>1015042</v>
      </c>
      <c r="E757" s="12">
        <v>2</v>
      </c>
      <c r="F757" s="12"/>
      <c r="G757" s="12">
        <v>890</v>
      </c>
      <c r="H757" s="12">
        <v>14.2</v>
      </c>
      <c r="I757" s="12"/>
      <c r="J757" s="12" t="s">
        <v>128</v>
      </c>
      <c r="K757" s="12" t="b">
        <v>1</v>
      </c>
      <c r="L757" s="12">
        <v>1</v>
      </c>
      <c r="M757" s="8">
        <v>2015</v>
      </c>
      <c r="N757" s="9">
        <v>0</v>
      </c>
      <c r="O757" s="13">
        <v>41815</v>
      </c>
      <c r="P757" s="13">
        <v>41815</v>
      </c>
    </row>
    <row r="758" spans="1:16">
      <c r="A758" s="10">
        <v>2014</v>
      </c>
      <c r="B758" s="11" t="s">
        <v>483</v>
      </c>
      <c r="C758" s="11" t="s">
        <v>484</v>
      </c>
      <c r="D758" s="12">
        <v>1015042</v>
      </c>
      <c r="E758" s="12">
        <v>2</v>
      </c>
      <c r="F758" s="12"/>
      <c r="G758" s="12">
        <v>890</v>
      </c>
      <c r="H758" s="12">
        <v>14.2</v>
      </c>
      <c r="I758" s="12"/>
      <c r="J758" s="12" t="s">
        <v>128</v>
      </c>
      <c r="K758" s="12" t="b">
        <v>1</v>
      </c>
      <c r="L758" s="12">
        <v>0</v>
      </c>
      <c r="M758" s="8">
        <v>2014</v>
      </c>
      <c r="N758" s="9">
        <v>0</v>
      </c>
      <c r="O758" s="13">
        <v>41815</v>
      </c>
      <c r="P758" s="13">
        <v>41815</v>
      </c>
    </row>
    <row r="759" spans="1:16">
      <c r="A759" s="10">
        <v>2014</v>
      </c>
      <c r="B759" s="11" t="s">
        <v>483</v>
      </c>
      <c r="C759" s="11" t="s">
        <v>484</v>
      </c>
      <c r="D759" s="12">
        <v>1015042</v>
      </c>
      <c r="E759" s="12">
        <v>2</v>
      </c>
      <c r="F759" s="12"/>
      <c r="G759" s="12">
        <v>890</v>
      </c>
      <c r="H759" s="12">
        <v>14.2</v>
      </c>
      <c r="I759" s="12"/>
      <c r="J759" s="12" t="s">
        <v>128</v>
      </c>
      <c r="K759" s="12" t="b">
        <v>1</v>
      </c>
      <c r="L759" s="12">
        <v>5</v>
      </c>
      <c r="M759" s="8">
        <v>2019</v>
      </c>
      <c r="N759" s="9">
        <v>0</v>
      </c>
      <c r="O759" s="13">
        <v>41815</v>
      </c>
      <c r="P759" s="13">
        <v>41815</v>
      </c>
    </row>
    <row r="760" spans="1:16">
      <c r="A760" s="10">
        <v>2014</v>
      </c>
      <c r="B760" s="11" t="s">
        <v>483</v>
      </c>
      <c r="C760" s="11" t="s">
        <v>484</v>
      </c>
      <c r="D760" s="12">
        <v>1015042</v>
      </c>
      <c r="E760" s="12">
        <v>2</v>
      </c>
      <c r="F760" s="12"/>
      <c r="G760" s="12">
        <v>220</v>
      </c>
      <c r="H760" s="12">
        <v>4.0999999999999996</v>
      </c>
      <c r="I760" s="12"/>
      <c r="J760" s="12" t="s">
        <v>66</v>
      </c>
      <c r="K760" s="12" t="b">
        <v>0</v>
      </c>
      <c r="L760" s="12">
        <v>6</v>
      </c>
      <c r="M760" s="8">
        <v>2020</v>
      </c>
      <c r="N760" s="9">
        <v>0</v>
      </c>
      <c r="O760" s="13">
        <v>41815</v>
      </c>
      <c r="P760" s="13">
        <v>41815</v>
      </c>
    </row>
    <row r="761" spans="1:16">
      <c r="A761" s="10">
        <v>2014</v>
      </c>
      <c r="B761" s="11" t="s">
        <v>483</v>
      </c>
      <c r="C761" s="11" t="s">
        <v>484</v>
      </c>
      <c r="D761" s="12">
        <v>1015042</v>
      </c>
      <c r="E761" s="12">
        <v>2</v>
      </c>
      <c r="F761" s="12"/>
      <c r="G761" s="12">
        <v>220</v>
      </c>
      <c r="H761" s="12">
        <v>4.0999999999999996</v>
      </c>
      <c r="I761" s="12"/>
      <c r="J761" s="12" t="s">
        <v>66</v>
      </c>
      <c r="K761" s="12" t="b">
        <v>0</v>
      </c>
      <c r="L761" s="12">
        <v>7</v>
      </c>
      <c r="M761" s="8">
        <v>2021</v>
      </c>
      <c r="N761" s="9">
        <v>0</v>
      </c>
      <c r="O761" s="13">
        <v>41815</v>
      </c>
      <c r="P761" s="13">
        <v>41815</v>
      </c>
    </row>
    <row r="762" spans="1:16">
      <c r="A762" s="10">
        <v>2014</v>
      </c>
      <c r="B762" s="11" t="s">
        <v>483</v>
      </c>
      <c r="C762" s="11" t="s">
        <v>484</v>
      </c>
      <c r="D762" s="12">
        <v>1015042</v>
      </c>
      <c r="E762" s="12">
        <v>2</v>
      </c>
      <c r="F762" s="12"/>
      <c r="G762" s="12">
        <v>220</v>
      </c>
      <c r="H762" s="12">
        <v>4.0999999999999996</v>
      </c>
      <c r="I762" s="12"/>
      <c r="J762" s="12" t="s">
        <v>66</v>
      </c>
      <c r="K762" s="12" t="b">
        <v>0</v>
      </c>
      <c r="L762" s="12">
        <v>5</v>
      </c>
      <c r="M762" s="8">
        <v>2019</v>
      </c>
      <c r="N762" s="9">
        <v>0</v>
      </c>
      <c r="O762" s="13">
        <v>41815</v>
      </c>
      <c r="P762" s="13">
        <v>41815</v>
      </c>
    </row>
    <row r="763" spans="1:16">
      <c r="A763" s="10">
        <v>2014</v>
      </c>
      <c r="B763" s="11" t="s">
        <v>483</v>
      </c>
      <c r="C763" s="11" t="s">
        <v>484</v>
      </c>
      <c r="D763" s="12">
        <v>1015042</v>
      </c>
      <c r="E763" s="12">
        <v>2</v>
      </c>
      <c r="F763" s="12"/>
      <c r="G763" s="12">
        <v>220</v>
      </c>
      <c r="H763" s="12">
        <v>4.0999999999999996</v>
      </c>
      <c r="I763" s="12"/>
      <c r="J763" s="12" t="s">
        <v>66</v>
      </c>
      <c r="K763" s="12" t="b">
        <v>0</v>
      </c>
      <c r="L763" s="12">
        <v>1</v>
      </c>
      <c r="M763" s="8">
        <v>2015</v>
      </c>
      <c r="N763" s="9">
        <v>0</v>
      </c>
      <c r="O763" s="13">
        <v>41815</v>
      </c>
      <c r="P763" s="13">
        <v>41815</v>
      </c>
    </row>
    <row r="764" spans="1:16">
      <c r="A764" s="10">
        <v>2014</v>
      </c>
      <c r="B764" s="11" t="s">
        <v>483</v>
      </c>
      <c r="C764" s="11" t="s">
        <v>484</v>
      </c>
      <c r="D764" s="12">
        <v>1015042</v>
      </c>
      <c r="E764" s="12">
        <v>2</v>
      </c>
      <c r="F764" s="12"/>
      <c r="G764" s="12">
        <v>220</v>
      </c>
      <c r="H764" s="12">
        <v>4.0999999999999996</v>
      </c>
      <c r="I764" s="12"/>
      <c r="J764" s="12" t="s">
        <v>66</v>
      </c>
      <c r="K764" s="12" t="b">
        <v>0</v>
      </c>
      <c r="L764" s="12">
        <v>0</v>
      </c>
      <c r="M764" s="8">
        <v>2014</v>
      </c>
      <c r="N764" s="9">
        <v>0</v>
      </c>
      <c r="O764" s="13">
        <v>41815</v>
      </c>
      <c r="P764" s="13">
        <v>41815</v>
      </c>
    </row>
    <row r="765" spans="1:16">
      <c r="A765" s="10">
        <v>2014</v>
      </c>
      <c r="B765" s="11" t="s">
        <v>483</v>
      </c>
      <c r="C765" s="11" t="s">
        <v>484</v>
      </c>
      <c r="D765" s="12">
        <v>1015042</v>
      </c>
      <c r="E765" s="12">
        <v>2</v>
      </c>
      <c r="F765" s="12"/>
      <c r="G765" s="12">
        <v>220</v>
      </c>
      <c r="H765" s="12">
        <v>4.0999999999999996</v>
      </c>
      <c r="I765" s="12"/>
      <c r="J765" s="12" t="s">
        <v>66</v>
      </c>
      <c r="K765" s="12" t="b">
        <v>0</v>
      </c>
      <c r="L765" s="12">
        <v>8</v>
      </c>
      <c r="M765" s="8">
        <v>2022</v>
      </c>
      <c r="N765" s="9">
        <v>0</v>
      </c>
      <c r="O765" s="13">
        <v>41815</v>
      </c>
      <c r="P765" s="13">
        <v>41815</v>
      </c>
    </row>
    <row r="766" spans="1:16">
      <c r="A766" s="10">
        <v>2014</v>
      </c>
      <c r="B766" s="11" t="s">
        <v>483</v>
      </c>
      <c r="C766" s="11" t="s">
        <v>484</v>
      </c>
      <c r="D766" s="12">
        <v>1015042</v>
      </c>
      <c r="E766" s="12">
        <v>2</v>
      </c>
      <c r="F766" s="12"/>
      <c r="G766" s="12">
        <v>220</v>
      </c>
      <c r="H766" s="12">
        <v>4.0999999999999996</v>
      </c>
      <c r="I766" s="12"/>
      <c r="J766" s="12" t="s">
        <v>66</v>
      </c>
      <c r="K766" s="12" t="b">
        <v>0</v>
      </c>
      <c r="L766" s="12">
        <v>2</v>
      </c>
      <c r="M766" s="8">
        <v>2016</v>
      </c>
      <c r="N766" s="9">
        <v>0</v>
      </c>
      <c r="O766" s="13">
        <v>41815</v>
      </c>
      <c r="P766" s="13">
        <v>41815</v>
      </c>
    </row>
    <row r="767" spans="1:16">
      <c r="A767" s="10">
        <v>2014</v>
      </c>
      <c r="B767" s="11" t="s">
        <v>483</v>
      </c>
      <c r="C767" s="11" t="s">
        <v>484</v>
      </c>
      <c r="D767" s="12">
        <v>1015042</v>
      </c>
      <c r="E767" s="12">
        <v>2</v>
      </c>
      <c r="F767" s="12"/>
      <c r="G767" s="12">
        <v>220</v>
      </c>
      <c r="H767" s="12">
        <v>4.0999999999999996</v>
      </c>
      <c r="I767" s="12"/>
      <c r="J767" s="12" t="s">
        <v>66</v>
      </c>
      <c r="K767" s="12" t="b">
        <v>0</v>
      </c>
      <c r="L767" s="12">
        <v>3</v>
      </c>
      <c r="M767" s="8">
        <v>2017</v>
      </c>
      <c r="N767" s="9">
        <v>0</v>
      </c>
      <c r="O767" s="13">
        <v>41815</v>
      </c>
      <c r="P767" s="13">
        <v>41815</v>
      </c>
    </row>
    <row r="768" spans="1:16">
      <c r="A768" s="10">
        <v>2014</v>
      </c>
      <c r="B768" s="11" t="s">
        <v>483</v>
      </c>
      <c r="C768" s="11" t="s">
        <v>484</v>
      </c>
      <c r="D768" s="12">
        <v>1015042</v>
      </c>
      <c r="E768" s="12">
        <v>2</v>
      </c>
      <c r="F768" s="12"/>
      <c r="G768" s="12">
        <v>220</v>
      </c>
      <c r="H768" s="12">
        <v>4.0999999999999996</v>
      </c>
      <c r="I768" s="12"/>
      <c r="J768" s="12" t="s">
        <v>66</v>
      </c>
      <c r="K768" s="12" t="b">
        <v>0</v>
      </c>
      <c r="L768" s="12">
        <v>4</v>
      </c>
      <c r="M768" s="8">
        <v>2018</v>
      </c>
      <c r="N768" s="9">
        <v>0</v>
      </c>
      <c r="O768" s="13">
        <v>41815</v>
      </c>
      <c r="P768" s="13">
        <v>41815</v>
      </c>
    </row>
    <row r="769" spans="1:16">
      <c r="A769" s="10">
        <v>2014</v>
      </c>
      <c r="B769" s="11" t="s">
        <v>483</v>
      </c>
      <c r="C769" s="11" t="s">
        <v>484</v>
      </c>
      <c r="D769" s="12">
        <v>1015042</v>
      </c>
      <c r="E769" s="12">
        <v>2</v>
      </c>
      <c r="F769" s="12"/>
      <c r="G769" s="12">
        <v>560</v>
      </c>
      <c r="H769" s="12">
        <v>10.1</v>
      </c>
      <c r="I769" s="12"/>
      <c r="J769" s="12" t="s">
        <v>86</v>
      </c>
      <c r="K769" s="12" t="b">
        <v>0</v>
      </c>
      <c r="L769" s="12">
        <v>2</v>
      </c>
      <c r="M769" s="8">
        <v>2016</v>
      </c>
      <c r="N769" s="9">
        <v>518457</v>
      </c>
      <c r="O769" s="13">
        <v>41815</v>
      </c>
      <c r="P769" s="13">
        <v>41815</v>
      </c>
    </row>
    <row r="770" spans="1:16">
      <c r="A770" s="10">
        <v>2014</v>
      </c>
      <c r="B770" s="11" t="s">
        <v>483</v>
      </c>
      <c r="C770" s="11" t="s">
        <v>484</v>
      </c>
      <c r="D770" s="12">
        <v>1015042</v>
      </c>
      <c r="E770" s="12">
        <v>2</v>
      </c>
      <c r="F770" s="12"/>
      <c r="G770" s="12">
        <v>560</v>
      </c>
      <c r="H770" s="12">
        <v>10.1</v>
      </c>
      <c r="I770" s="12"/>
      <c r="J770" s="12" t="s">
        <v>86</v>
      </c>
      <c r="K770" s="12" t="b">
        <v>0</v>
      </c>
      <c r="L770" s="12">
        <v>4</v>
      </c>
      <c r="M770" s="8">
        <v>2018</v>
      </c>
      <c r="N770" s="9">
        <v>350000</v>
      </c>
      <c r="O770" s="13">
        <v>41815</v>
      </c>
      <c r="P770" s="13">
        <v>41815</v>
      </c>
    </row>
    <row r="771" spans="1:16">
      <c r="A771" s="10">
        <v>2014</v>
      </c>
      <c r="B771" s="11" t="s">
        <v>483</v>
      </c>
      <c r="C771" s="11" t="s">
        <v>484</v>
      </c>
      <c r="D771" s="12">
        <v>1015042</v>
      </c>
      <c r="E771" s="12">
        <v>2</v>
      </c>
      <c r="F771" s="12"/>
      <c r="G771" s="12">
        <v>560</v>
      </c>
      <c r="H771" s="12">
        <v>10.1</v>
      </c>
      <c r="I771" s="12"/>
      <c r="J771" s="12" t="s">
        <v>86</v>
      </c>
      <c r="K771" s="12" t="b">
        <v>0</v>
      </c>
      <c r="L771" s="12">
        <v>8</v>
      </c>
      <c r="M771" s="8">
        <v>2022</v>
      </c>
      <c r="N771" s="9">
        <v>38333.15</v>
      </c>
      <c r="O771" s="13">
        <v>41815</v>
      </c>
      <c r="P771" s="13">
        <v>41815</v>
      </c>
    </row>
    <row r="772" spans="1:16">
      <c r="A772" s="10">
        <v>2014</v>
      </c>
      <c r="B772" s="11" t="s">
        <v>483</v>
      </c>
      <c r="C772" s="11" t="s">
        <v>484</v>
      </c>
      <c r="D772" s="12">
        <v>1015042</v>
      </c>
      <c r="E772" s="12">
        <v>2</v>
      </c>
      <c r="F772" s="12"/>
      <c r="G772" s="12">
        <v>560</v>
      </c>
      <c r="H772" s="12">
        <v>10.1</v>
      </c>
      <c r="I772" s="12"/>
      <c r="J772" s="12" t="s">
        <v>86</v>
      </c>
      <c r="K772" s="12" t="b">
        <v>0</v>
      </c>
      <c r="L772" s="12">
        <v>0</v>
      </c>
      <c r="M772" s="8">
        <v>2014</v>
      </c>
      <c r="N772" s="9">
        <v>0</v>
      </c>
      <c r="O772" s="13">
        <v>41815</v>
      </c>
      <c r="P772" s="13">
        <v>41815</v>
      </c>
    </row>
    <row r="773" spans="1:16">
      <c r="A773" s="10">
        <v>2014</v>
      </c>
      <c r="B773" s="11" t="s">
        <v>483</v>
      </c>
      <c r="C773" s="11" t="s">
        <v>484</v>
      </c>
      <c r="D773" s="12">
        <v>1015042</v>
      </c>
      <c r="E773" s="12">
        <v>2</v>
      </c>
      <c r="F773" s="12"/>
      <c r="G773" s="12">
        <v>560</v>
      </c>
      <c r="H773" s="12">
        <v>10.1</v>
      </c>
      <c r="I773" s="12"/>
      <c r="J773" s="12" t="s">
        <v>86</v>
      </c>
      <c r="K773" s="12" t="b">
        <v>0</v>
      </c>
      <c r="L773" s="12">
        <v>6</v>
      </c>
      <c r="M773" s="8">
        <v>2020</v>
      </c>
      <c r="N773" s="9">
        <v>250000</v>
      </c>
      <c r="O773" s="13">
        <v>41815</v>
      </c>
      <c r="P773" s="13">
        <v>41815</v>
      </c>
    </row>
    <row r="774" spans="1:16">
      <c r="A774" s="10">
        <v>2014</v>
      </c>
      <c r="B774" s="11" t="s">
        <v>483</v>
      </c>
      <c r="C774" s="11" t="s">
        <v>484</v>
      </c>
      <c r="D774" s="12">
        <v>1015042</v>
      </c>
      <c r="E774" s="12">
        <v>2</v>
      </c>
      <c r="F774" s="12"/>
      <c r="G774" s="12">
        <v>560</v>
      </c>
      <c r="H774" s="12">
        <v>10.1</v>
      </c>
      <c r="I774" s="12"/>
      <c r="J774" s="12" t="s">
        <v>86</v>
      </c>
      <c r="K774" s="12" t="b">
        <v>0</v>
      </c>
      <c r="L774" s="12">
        <v>1</v>
      </c>
      <c r="M774" s="8">
        <v>2015</v>
      </c>
      <c r="N774" s="9">
        <v>537592</v>
      </c>
      <c r="O774" s="13">
        <v>41815</v>
      </c>
      <c r="P774" s="13">
        <v>41815</v>
      </c>
    </row>
    <row r="775" spans="1:16">
      <c r="A775" s="10">
        <v>2014</v>
      </c>
      <c r="B775" s="11" t="s">
        <v>483</v>
      </c>
      <c r="C775" s="11" t="s">
        <v>484</v>
      </c>
      <c r="D775" s="12">
        <v>1015042</v>
      </c>
      <c r="E775" s="12">
        <v>2</v>
      </c>
      <c r="F775" s="12"/>
      <c r="G775" s="12">
        <v>560</v>
      </c>
      <c r="H775" s="12">
        <v>10.1</v>
      </c>
      <c r="I775" s="12"/>
      <c r="J775" s="12" t="s">
        <v>86</v>
      </c>
      <c r="K775" s="12" t="b">
        <v>0</v>
      </c>
      <c r="L775" s="12">
        <v>7</v>
      </c>
      <c r="M775" s="8">
        <v>2021</v>
      </c>
      <c r="N775" s="9">
        <v>100000</v>
      </c>
      <c r="O775" s="13">
        <v>41815</v>
      </c>
      <c r="P775" s="13">
        <v>41815</v>
      </c>
    </row>
    <row r="776" spans="1:16">
      <c r="A776" s="10">
        <v>2014</v>
      </c>
      <c r="B776" s="11" t="s">
        <v>483</v>
      </c>
      <c r="C776" s="11" t="s">
        <v>484</v>
      </c>
      <c r="D776" s="12">
        <v>1015042</v>
      </c>
      <c r="E776" s="12">
        <v>2</v>
      </c>
      <c r="F776" s="12"/>
      <c r="G776" s="12">
        <v>560</v>
      </c>
      <c r="H776" s="12">
        <v>10.1</v>
      </c>
      <c r="I776" s="12"/>
      <c r="J776" s="12" t="s">
        <v>86</v>
      </c>
      <c r="K776" s="12" t="b">
        <v>0</v>
      </c>
      <c r="L776" s="12">
        <v>5</v>
      </c>
      <c r="M776" s="8">
        <v>2019</v>
      </c>
      <c r="N776" s="9">
        <v>300000</v>
      </c>
      <c r="O776" s="13">
        <v>41815</v>
      </c>
      <c r="P776" s="13">
        <v>41815</v>
      </c>
    </row>
    <row r="777" spans="1:16">
      <c r="A777" s="10">
        <v>2014</v>
      </c>
      <c r="B777" s="11" t="s">
        <v>483</v>
      </c>
      <c r="C777" s="11" t="s">
        <v>484</v>
      </c>
      <c r="D777" s="12">
        <v>1015042</v>
      </c>
      <c r="E777" s="12">
        <v>2</v>
      </c>
      <c r="F777" s="12"/>
      <c r="G777" s="12">
        <v>560</v>
      </c>
      <c r="H777" s="12">
        <v>10.1</v>
      </c>
      <c r="I777" s="12"/>
      <c r="J777" s="12" t="s">
        <v>86</v>
      </c>
      <c r="K777" s="12" t="b">
        <v>0</v>
      </c>
      <c r="L777" s="12">
        <v>3</v>
      </c>
      <c r="M777" s="8">
        <v>2017</v>
      </c>
      <c r="N777" s="9">
        <v>450000</v>
      </c>
      <c r="O777" s="13">
        <v>41815</v>
      </c>
      <c r="P777" s="13">
        <v>41815</v>
      </c>
    </row>
    <row r="778" spans="1:16">
      <c r="A778" s="10">
        <v>2014</v>
      </c>
      <c r="B778" s="11" t="s">
        <v>483</v>
      </c>
      <c r="C778" s="11" t="s">
        <v>484</v>
      </c>
      <c r="D778" s="12">
        <v>1015042</v>
      </c>
      <c r="E778" s="12">
        <v>2</v>
      </c>
      <c r="F778" s="12"/>
      <c r="G778" s="12">
        <v>540</v>
      </c>
      <c r="H778" s="12" t="s">
        <v>84</v>
      </c>
      <c r="I778" s="12" t="s">
        <v>393</v>
      </c>
      <c r="J778" s="12" t="s">
        <v>394</v>
      </c>
      <c r="K778" s="12" t="b">
        <v>0</v>
      </c>
      <c r="L778" s="12">
        <v>4</v>
      </c>
      <c r="M778" s="8">
        <v>2018</v>
      </c>
      <c r="N778" s="9">
        <v>514</v>
      </c>
      <c r="O778" s="13">
        <v>41815</v>
      </c>
      <c r="P778" s="13">
        <v>41815</v>
      </c>
    </row>
    <row r="779" spans="1:16">
      <c r="A779" s="10">
        <v>2014</v>
      </c>
      <c r="B779" s="11" t="s">
        <v>483</v>
      </c>
      <c r="C779" s="11" t="s">
        <v>484</v>
      </c>
      <c r="D779" s="12">
        <v>1015042</v>
      </c>
      <c r="E779" s="12">
        <v>2</v>
      </c>
      <c r="F779" s="12"/>
      <c r="G779" s="12">
        <v>540</v>
      </c>
      <c r="H779" s="12" t="s">
        <v>84</v>
      </c>
      <c r="I779" s="12" t="s">
        <v>393</v>
      </c>
      <c r="J779" s="12" t="s">
        <v>394</v>
      </c>
      <c r="K779" s="12" t="b">
        <v>0</v>
      </c>
      <c r="L779" s="12">
        <v>8</v>
      </c>
      <c r="M779" s="8">
        <v>2022</v>
      </c>
      <c r="N779" s="9">
        <v>871</v>
      </c>
      <c r="O779" s="13">
        <v>41815</v>
      </c>
      <c r="P779" s="13">
        <v>41815</v>
      </c>
    </row>
    <row r="780" spans="1:16">
      <c r="A780" s="10">
        <v>2014</v>
      </c>
      <c r="B780" s="11" t="s">
        <v>483</v>
      </c>
      <c r="C780" s="11" t="s">
        <v>484</v>
      </c>
      <c r="D780" s="12">
        <v>1015042</v>
      </c>
      <c r="E780" s="12">
        <v>2</v>
      </c>
      <c r="F780" s="12"/>
      <c r="G780" s="12">
        <v>540</v>
      </c>
      <c r="H780" s="12" t="s">
        <v>84</v>
      </c>
      <c r="I780" s="12" t="s">
        <v>393</v>
      </c>
      <c r="J780" s="12" t="s">
        <v>394</v>
      </c>
      <c r="K780" s="12" t="b">
        <v>0</v>
      </c>
      <c r="L780" s="12">
        <v>1</v>
      </c>
      <c r="M780" s="8">
        <v>2015</v>
      </c>
      <c r="N780" s="9">
        <v>180</v>
      </c>
      <c r="O780" s="13">
        <v>41815</v>
      </c>
      <c r="P780" s="13">
        <v>41815</v>
      </c>
    </row>
    <row r="781" spans="1:16">
      <c r="A781" s="10">
        <v>2014</v>
      </c>
      <c r="B781" s="11" t="s">
        <v>483</v>
      </c>
      <c r="C781" s="11" t="s">
        <v>484</v>
      </c>
      <c r="D781" s="12">
        <v>1015042</v>
      </c>
      <c r="E781" s="12">
        <v>2</v>
      </c>
      <c r="F781" s="12"/>
      <c r="G781" s="12">
        <v>180</v>
      </c>
      <c r="H781" s="12" t="s">
        <v>64</v>
      </c>
      <c r="I781" s="12"/>
      <c r="J781" s="12" t="s">
        <v>361</v>
      </c>
      <c r="K781" s="12" t="b">
        <v>0</v>
      </c>
      <c r="L781" s="12">
        <v>5</v>
      </c>
      <c r="M781" s="8">
        <v>2019</v>
      </c>
      <c r="N781" s="9">
        <v>30000</v>
      </c>
      <c r="O781" s="13">
        <v>41815</v>
      </c>
      <c r="P781" s="13">
        <v>41815</v>
      </c>
    </row>
    <row r="782" spans="1:16">
      <c r="A782" s="10">
        <v>2014</v>
      </c>
      <c r="B782" s="11" t="s">
        <v>483</v>
      </c>
      <c r="C782" s="11" t="s">
        <v>484</v>
      </c>
      <c r="D782" s="12">
        <v>1015042</v>
      </c>
      <c r="E782" s="12">
        <v>2</v>
      </c>
      <c r="F782" s="12"/>
      <c r="G782" s="12">
        <v>180</v>
      </c>
      <c r="H782" s="12" t="s">
        <v>64</v>
      </c>
      <c r="I782" s="12"/>
      <c r="J782" s="12" t="s">
        <v>361</v>
      </c>
      <c r="K782" s="12" t="b">
        <v>0</v>
      </c>
      <c r="L782" s="12">
        <v>6</v>
      </c>
      <c r="M782" s="8">
        <v>2020</v>
      </c>
      <c r="N782" s="9">
        <v>15000</v>
      </c>
      <c r="O782" s="13">
        <v>41815</v>
      </c>
      <c r="P782" s="13">
        <v>41815</v>
      </c>
    </row>
    <row r="783" spans="1:16">
      <c r="A783" s="10">
        <v>2014</v>
      </c>
      <c r="B783" s="11" t="s">
        <v>483</v>
      </c>
      <c r="C783" s="11" t="s">
        <v>484</v>
      </c>
      <c r="D783" s="12">
        <v>1015042</v>
      </c>
      <c r="E783" s="12">
        <v>2</v>
      </c>
      <c r="F783" s="12"/>
      <c r="G783" s="12">
        <v>540</v>
      </c>
      <c r="H783" s="12" t="s">
        <v>84</v>
      </c>
      <c r="I783" s="12" t="s">
        <v>393</v>
      </c>
      <c r="J783" s="12" t="s">
        <v>394</v>
      </c>
      <c r="K783" s="12" t="b">
        <v>0</v>
      </c>
      <c r="L783" s="12">
        <v>0</v>
      </c>
      <c r="M783" s="8">
        <v>2014</v>
      </c>
      <c r="N783" s="9">
        <v>461</v>
      </c>
      <c r="O783" s="13">
        <v>41815</v>
      </c>
      <c r="P783" s="13">
        <v>41815</v>
      </c>
    </row>
    <row r="784" spans="1:16">
      <c r="A784" s="10">
        <v>2014</v>
      </c>
      <c r="B784" s="11" t="s">
        <v>483</v>
      </c>
      <c r="C784" s="11" t="s">
        <v>484</v>
      </c>
      <c r="D784" s="12">
        <v>1015042</v>
      </c>
      <c r="E784" s="12">
        <v>2</v>
      </c>
      <c r="F784" s="12"/>
      <c r="G784" s="12">
        <v>540</v>
      </c>
      <c r="H784" s="12" t="s">
        <v>84</v>
      </c>
      <c r="I784" s="12" t="s">
        <v>393</v>
      </c>
      <c r="J784" s="12" t="s">
        <v>394</v>
      </c>
      <c r="K784" s="12" t="b">
        <v>0</v>
      </c>
      <c r="L784" s="12">
        <v>7</v>
      </c>
      <c r="M784" s="8">
        <v>2021</v>
      </c>
      <c r="N784" s="9">
        <v>770</v>
      </c>
      <c r="O784" s="13">
        <v>41815</v>
      </c>
      <c r="P784" s="13">
        <v>41815</v>
      </c>
    </row>
    <row r="785" spans="1:16">
      <c r="A785" s="10">
        <v>2014</v>
      </c>
      <c r="B785" s="11" t="s">
        <v>483</v>
      </c>
      <c r="C785" s="11" t="s">
        <v>484</v>
      </c>
      <c r="D785" s="12">
        <v>1015042</v>
      </c>
      <c r="E785" s="12">
        <v>2</v>
      </c>
      <c r="F785" s="12"/>
      <c r="G785" s="12">
        <v>540</v>
      </c>
      <c r="H785" s="12" t="s">
        <v>84</v>
      </c>
      <c r="I785" s="12" t="s">
        <v>393</v>
      </c>
      <c r="J785" s="12" t="s">
        <v>394</v>
      </c>
      <c r="K785" s="12" t="b">
        <v>0</v>
      </c>
      <c r="L785" s="12">
        <v>6</v>
      </c>
      <c r="M785" s="8">
        <v>2020</v>
      </c>
      <c r="N785" s="9">
        <v>575</v>
      </c>
      <c r="O785" s="13">
        <v>41815</v>
      </c>
      <c r="P785" s="13">
        <v>41815</v>
      </c>
    </row>
    <row r="786" spans="1:16">
      <c r="A786" s="10">
        <v>2014</v>
      </c>
      <c r="B786" s="11" t="s">
        <v>483</v>
      </c>
      <c r="C786" s="11" t="s">
        <v>484</v>
      </c>
      <c r="D786" s="12">
        <v>1015042</v>
      </c>
      <c r="E786" s="12">
        <v>2</v>
      </c>
      <c r="F786" s="12"/>
      <c r="G786" s="12">
        <v>540</v>
      </c>
      <c r="H786" s="12" t="s">
        <v>84</v>
      </c>
      <c r="I786" s="12" t="s">
        <v>393</v>
      </c>
      <c r="J786" s="12" t="s">
        <v>394</v>
      </c>
      <c r="K786" s="12" t="b">
        <v>0</v>
      </c>
      <c r="L786" s="12">
        <v>2</v>
      </c>
      <c r="M786" s="8">
        <v>2016</v>
      </c>
      <c r="N786" s="9">
        <v>174</v>
      </c>
      <c r="O786" s="13">
        <v>41815</v>
      </c>
      <c r="P786" s="13">
        <v>41815</v>
      </c>
    </row>
    <row r="787" spans="1:16">
      <c r="A787" s="10">
        <v>2014</v>
      </c>
      <c r="B787" s="11" t="s">
        <v>483</v>
      </c>
      <c r="C787" s="11" t="s">
        <v>484</v>
      </c>
      <c r="D787" s="12">
        <v>1015042</v>
      </c>
      <c r="E787" s="12">
        <v>2</v>
      </c>
      <c r="F787" s="12"/>
      <c r="G787" s="12">
        <v>540</v>
      </c>
      <c r="H787" s="12" t="s">
        <v>84</v>
      </c>
      <c r="I787" s="12" t="s">
        <v>393</v>
      </c>
      <c r="J787" s="12" t="s">
        <v>394</v>
      </c>
      <c r="K787" s="12" t="b">
        <v>0</v>
      </c>
      <c r="L787" s="12">
        <v>3</v>
      </c>
      <c r="M787" s="8">
        <v>2017</v>
      </c>
      <c r="N787" s="9">
        <v>233</v>
      </c>
      <c r="O787" s="13">
        <v>41815</v>
      </c>
      <c r="P787" s="13">
        <v>41815</v>
      </c>
    </row>
    <row r="788" spans="1:16">
      <c r="A788" s="10">
        <v>2014</v>
      </c>
      <c r="B788" s="11" t="s">
        <v>483</v>
      </c>
      <c r="C788" s="11" t="s">
        <v>484</v>
      </c>
      <c r="D788" s="12">
        <v>1015042</v>
      </c>
      <c r="E788" s="12">
        <v>2</v>
      </c>
      <c r="F788" s="12"/>
      <c r="G788" s="12">
        <v>540</v>
      </c>
      <c r="H788" s="12" t="s">
        <v>84</v>
      </c>
      <c r="I788" s="12" t="s">
        <v>393</v>
      </c>
      <c r="J788" s="12" t="s">
        <v>394</v>
      </c>
      <c r="K788" s="12" t="b">
        <v>0</v>
      </c>
      <c r="L788" s="12">
        <v>5</v>
      </c>
      <c r="M788" s="8">
        <v>2019</v>
      </c>
      <c r="N788" s="9">
        <v>561</v>
      </c>
      <c r="O788" s="13">
        <v>41815</v>
      </c>
      <c r="P788" s="13">
        <v>41815</v>
      </c>
    </row>
    <row r="789" spans="1:16">
      <c r="A789" s="10">
        <v>2014</v>
      </c>
      <c r="B789" s="11" t="s">
        <v>483</v>
      </c>
      <c r="C789" s="11" t="s">
        <v>484</v>
      </c>
      <c r="D789" s="12">
        <v>1015042</v>
      </c>
      <c r="E789" s="12">
        <v>2</v>
      </c>
      <c r="F789" s="12"/>
      <c r="G789" s="12">
        <v>620</v>
      </c>
      <c r="H789" s="12" t="s">
        <v>92</v>
      </c>
      <c r="I789" s="12"/>
      <c r="J789" s="12" t="s">
        <v>93</v>
      </c>
      <c r="K789" s="12" t="b">
        <v>1</v>
      </c>
      <c r="L789" s="12">
        <v>8</v>
      </c>
      <c r="M789" s="8">
        <v>2022</v>
      </c>
      <c r="N789" s="9">
        <v>0</v>
      </c>
      <c r="O789" s="13">
        <v>41815</v>
      </c>
      <c r="P789" s="13">
        <v>41815</v>
      </c>
    </row>
    <row r="790" spans="1:16">
      <c r="A790" s="10">
        <v>2014</v>
      </c>
      <c r="B790" s="11" t="s">
        <v>483</v>
      </c>
      <c r="C790" s="11" t="s">
        <v>484</v>
      </c>
      <c r="D790" s="12">
        <v>1015042</v>
      </c>
      <c r="E790" s="12">
        <v>2</v>
      </c>
      <c r="F790" s="12"/>
      <c r="G790" s="12">
        <v>620</v>
      </c>
      <c r="H790" s="12" t="s">
        <v>92</v>
      </c>
      <c r="I790" s="12"/>
      <c r="J790" s="12" t="s">
        <v>93</v>
      </c>
      <c r="K790" s="12" t="b">
        <v>1</v>
      </c>
      <c r="L790" s="12">
        <v>2</v>
      </c>
      <c r="M790" s="8">
        <v>2016</v>
      </c>
      <c r="N790" s="9">
        <v>0</v>
      </c>
      <c r="O790" s="13">
        <v>41815</v>
      </c>
      <c r="P790" s="13">
        <v>41815</v>
      </c>
    </row>
    <row r="791" spans="1:16">
      <c r="A791" s="10">
        <v>2014</v>
      </c>
      <c r="B791" s="11" t="s">
        <v>483</v>
      </c>
      <c r="C791" s="11" t="s">
        <v>484</v>
      </c>
      <c r="D791" s="12">
        <v>1015042</v>
      </c>
      <c r="E791" s="12">
        <v>2</v>
      </c>
      <c r="F791" s="12"/>
      <c r="G791" s="12">
        <v>620</v>
      </c>
      <c r="H791" s="12" t="s">
        <v>92</v>
      </c>
      <c r="I791" s="12"/>
      <c r="J791" s="12" t="s">
        <v>93</v>
      </c>
      <c r="K791" s="12" t="b">
        <v>1</v>
      </c>
      <c r="L791" s="12">
        <v>7</v>
      </c>
      <c r="M791" s="8">
        <v>2021</v>
      </c>
      <c r="N791" s="9">
        <v>0</v>
      </c>
      <c r="O791" s="13">
        <v>41815</v>
      </c>
      <c r="P791" s="13">
        <v>41815</v>
      </c>
    </row>
    <row r="792" spans="1:16">
      <c r="A792" s="10">
        <v>2014</v>
      </c>
      <c r="B792" s="11" t="s">
        <v>483</v>
      </c>
      <c r="C792" s="11" t="s">
        <v>484</v>
      </c>
      <c r="D792" s="12">
        <v>1015042</v>
      </c>
      <c r="E792" s="12">
        <v>2</v>
      </c>
      <c r="F792" s="12"/>
      <c r="G792" s="12">
        <v>620</v>
      </c>
      <c r="H792" s="12" t="s">
        <v>92</v>
      </c>
      <c r="I792" s="12"/>
      <c r="J792" s="12" t="s">
        <v>93</v>
      </c>
      <c r="K792" s="12" t="b">
        <v>1</v>
      </c>
      <c r="L792" s="12">
        <v>3</v>
      </c>
      <c r="M792" s="8">
        <v>2017</v>
      </c>
      <c r="N792" s="9">
        <v>0</v>
      </c>
      <c r="O792" s="13">
        <v>41815</v>
      </c>
      <c r="P792" s="13">
        <v>41815</v>
      </c>
    </row>
    <row r="793" spans="1:16">
      <c r="A793" s="10">
        <v>2014</v>
      </c>
      <c r="B793" s="11" t="s">
        <v>483</v>
      </c>
      <c r="C793" s="11" t="s">
        <v>484</v>
      </c>
      <c r="D793" s="12">
        <v>1015042</v>
      </c>
      <c r="E793" s="12">
        <v>2</v>
      </c>
      <c r="F793" s="12"/>
      <c r="G793" s="12">
        <v>620</v>
      </c>
      <c r="H793" s="12" t="s">
        <v>92</v>
      </c>
      <c r="I793" s="12"/>
      <c r="J793" s="12" t="s">
        <v>93</v>
      </c>
      <c r="K793" s="12" t="b">
        <v>1</v>
      </c>
      <c r="L793" s="12">
        <v>1</v>
      </c>
      <c r="M793" s="8">
        <v>2015</v>
      </c>
      <c r="N793" s="9">
        <v>0</v>
      </c>
      <c r="O793" s="13">
        <v>41815</v>
      </c>
      <c r="P793" s="13">
        <v>41815</v>
      </c>
    </row>
    <row r="794" spans="1:16">
      <c r="A794" s="10">
        <v>2014</v>
      </c>
      <c r="B794" s="11" t="s">
        <v>483</v>
      </c>
      <c r="C794" s="11" t="s">
        <v>484</v>
      </c>
      <c r="D794" s="12">
        <v>1015042</v>
      </c>
      <c r="E794" s="12">
        <v>2</v>
      </c>
      <c r="F794" s="12"/>
      <c r="G794" s="12">
        <v>620</v>
      </c>
      <c r="H794" s="12" t="s">
        <v>92</v>
      </c>
      <c r="I794" s="12"/>
      <c r="J794" s="12" t="s">
        <v>93</v>
      </c>
      <c r="K794" s="12" t="b">
        <v>1</v>
      </c>
      <c r="L794" s="12">
        <v>5</v>
      </c>
      <c r="M794" s="8">
        <v>2019</v>
      </c>
      <c r="N794" s="9">
        <v>0</v>
      </c>
      <c r="O794" s="13">
        <v>41815</v>
      </c>
      <c r="P794" s="13">
        <v>41815</v>
      </c>
    </row>
    <row r="795" spans="1:16">
      <c r="A795" s="10">
        <v>2014</v>
      </c>
      <c r="B795" s="11" t="s">
        <v>483</v>
      </c>
      <c r="C795" s="11" t="s">
        <v>484</v>
      </c>
      <c r="D795" s="12">
        <v>1015042</v>
      </c>
      <c r="E795" s="12">
        <v>2</v>
      </c>
      <c r="F795" s="12"/>
      <c r="G795" s="12">
        <v>620</v>
      </c>
      <c r="H795" s="12" t="s">
        <v>92</v>
      </c>
      <c r="I795" s="12"/>
      <c r="J795" s="12" t="s">
        <v>93</v>
      </c>
      <c r="K795" s="12" t="b">
        <v>1</v>
      </c>
      <c r="L795" s="12">
        <v>4</v>
      </c>
      <c r="M795" s="8">
        <v>2018</v>
      </c>
      <c r="N795" s="9">
        <v>0</v>
      </c>
      <c r="O795" s="13">
        <v>41815</v>
      </c>
      <c r="P795" s="13">
        <v>41815</v>
      </c>
    </row>
    <row r="796" spans="1:16">
      <c r="A796" s="10">
        <v>2014</v>
      </c>
      <c r="B796" s="11" t="s">
        <v>483</v>
      </c>
      <c r="C796" s="11" t="s">
        <v>484</v>
      </c>
      <c r="D796" s="12">
        <v>1015042</v>
      </c>
      <c r="E796" s="12">
        <v>2</v>
      </c>
      <c r="F796" s="12"/>
      <c r="G796" s="12">
        <v>620</v>
      </c>
      <c r="H796" s="12" t="s">
        <v>92</v>
      </c>
      <c r="I796" s="12"/>
      <c r="J796" s="12" t="s">
        <v>93</v>
      </c>
      <c r="K796" s="12" t="b">
        <v>1</v>
      </c>
      <c r="L796" s="12">
        <v>0</v>
      </c>
      <c r="M796" s="8">
        <v>2014</v>
      </c>
      <c r="N796" s="9">
        <v>1369219.39</v>
      </c>
      <c r="O796" s="13">
        <v>41815</v>
      </c>
      <c r="P796" s="13">
        <v>41815</v>
      </c>
    </row>
    <row r="797" spans="1:16">
      <c r="A797" s="10">
        <v>2014</v>
      </c>
      <c r="B797" s="11" t="s">
        <v>483</v>
      </c>
      <c r="C797" s="11" t="s">
        <v>484</v>
      </c>
      <c r="D797" s="12">
        <v>1015042</v>
      </c>
      <c r="E797" s="12">
        <v>2</v>
      </c>
      <c r="F797" s="12"/>
      <c r="G797" s="12">
        <v>620</v>
      </c>
      <c r="H797" s="12" t="s">
        <v>92</v>
      </c>
      <c r="I797" s="12"/>
      <c r="J797" s="12" t="s">
        <v>93</v>
      </c>
      <c r="K797" s="12" t="b">
        <v>1</v>
      </c>
      <c r="L797" s="12">
        <v>6</v>
      </c>
      <c r="M797" s="8">
        <v>2020</v>
      </c>
      <c r="N797" s="9">
        <v>0</v>
      </c>
      <c r="O797" s="13">
        <v>41815</v>
      </c>
      <c r="P797" s="13">
        <v>41815</v>
      </c>
    </row>
    <row r="798" spans="1:16">
      <c r="A798" s="10">
        <v>2014</v>
      </c>
      <c r="B798" s="11" t="s">
        <v>483</v>
      </c>
      <c r="C798" s="11" t="s">
        <v>484</v>
      </c>
      <c r="D798" s="12">
        <v>1015042</v>
      </c>
      <c r="E798" s="12">
        <v>2</v>
      </c>
      <c r="F798" s="12"/>
      <c r="G798" s="12">
        <v>180</v>
      </c>
      <c r="H798" s="12" t="s">
        <v>64</v>
      </c>
      <c r="I798" s="12"/>
      <c r="J798" s="12" t="s">
        <v>361</v>
      </c>
      <c r="K798" s="12" t="b">
        <v>0</v>
      </c>
      <c r="L798" s="12">
        <v>8</v>
      </c>
      <c r="M798" s="8">
        <v>2022</v>
      </c>
      <c r="N798" s="9">
        <v>2000</v>
      </c>
      <c r="O798" s="13">
        <v>41815</v>
      </c>
      <c r="P798" s="13">
        <v>41815</v>
      </c>
    </row>
    <row r="799" spans="1:16">
      <c r="A799" s="10">
        <v>2014</v>
      </c>
      <c r="B799" s="11" t="s">
        <v>483</v>
      </c>
      <c r="C799" s="11" t="s">
        <v>484</v>
      </c>
      <c r="D799" s="12">
        <v>1015042</v>
      </c>
      <c r="E799" s="12">
        <v>2</v>
      </c>
      <c r="F799" s="12"/>
      <c r="G799" s="12">
        <v>180</v>
      </c>
      <c r="H799" s="12" t="s">
        <v>64</v>
      </c>
      <c r="I799" s="12"/>
      <c r="J799" s="12" t="s">
        <v>361</v>
      </c>
      <c r="K799" s="12" t="b">
        <v>0</v>
      </c>
      <c r="L799" s="12">
        <v>3</v>
      </c>
      <c r="M799" s="8">
        <v>2017</v>
      </c>
      <c r="N799" s="9">
        <v>50000</v>
      </c>
      <c r="O799" s="13">
        <v>41815</v>
      </c>
      <c r="P799" s="13">
        <v>41815</v>
      </c>
    </row>
    <row r="800" spans="1:16">
      <c r="A800" s="10">
        <v>2014</v>
      </c>
      <c r="B800" s="11" t="s">
        <v>483</v>
      </c>
      <c r="C800" s="11" t="s">
        <v>484</v>
      </c>
      <c r="D800" s="12">
        <v>1015042</v>
      </c>
      <c r="E800" s="12">
        <v>2</v>
      </c>
      <c r="F800" s="12"/>
      <c r="G800" s="12">
        <v>180</v>
      </c>
      <c r="H800" s="12" t="s">
        <v>64</v>
      </c>
      <c r="I800" s="12"/>
      <c r="J800" s="12" t="s">
        <v>361</v>
      </c>
      <c r="K800" s="12" t="b">
        <v>0</v>
      </c>
      <c r="L800" s="12">
        <v>2</v>
      </c>
      <c r="M800" s="8">
        <v>2016</v>
      </c>
      <c r="N800" s="9">
        <v>55000</v>
      </c>
      <c r="O800" s="13">
        <v>41815</v>
      </c>
      <c r="P800" s="13">
        <v>41815</v>
      </c>
    </row>
    <row r="801" spans="1:16">
      <c r="A801" s="10">
        <v>2014</v>
      </c>
      <c r="B801" s="11" t="s">
        <v>483</v>
      </c>
      <c r="C801" s="11" t="s">
        <v>484</v>
      </c>
      <c r="D801" s="12">
        <v>1015042</v>
      </c>
      <c r="E801" s="12">
        <v>2</v>
      </c>
      <c r="F801" s="12"/>
      <c r="G801" s="12">
        <v>180</v>
      </c>
      <c r="H801" s="12" t="s">
        <v>64</v>
      </c>
      <c r="I801" s="12"/>
      <c r="J801" s="12" t="s">
        <v>361</v>
      </c>
      <c r="K801" s="12" t="b">
        <v>0</v>
      </c>
      <c r="L801" s="12">
        <v>1</v>
      </c>
      <c r="M801" s="8">
        <v>2015</v>
      </c>
      <c r="N801" s="9">
        <v>75000</v>
      </c>
      <c r="O801" s="13">
        <v>41815</v>
      </c>
      <c r="P801" s="13">
        <v>41815</v>
      </c>
    </row>
    <row r="802" spans="1:16">
      <c r="A802" s="10">
        <v>2014</v>
      </c>
      <c r="B802" s="11" t="s">
        <v>483</v>
      </c>
      <c r="C802" s="11" t="s">
        <v>484</v>
      </c>
      <c r="D802" s="12">
        <v>1015042</v>
      </c>
      <c r="E802" s="12">
        <v>2</v>
      </c>
      <c r="F802" s="12"/>
      <c r="G802" s="12">
        <v>180</v>
      </c>
      <c r="H802" s="12" t="s">
        <v>64</v>
      </c>
      <c r="I802" s="12"/>
      <c r="J802" s="12" t="s">
        <v>361</v>
      </c>
      <c r="K802" s="12" t="b">
        <v>0</v>
      </c>
      <c r="L802" s="12">
        <v>7</v>
      </c>
      <c r="M802" s="8">
        <v>2021</v>
      </c>
      <c r="N802" s="9">
        <v>10000</v>
      </c>
      <c r="O802" s="13">
        <v>41815</v>
      </c>
      <c r="P802" s="13">
        <v>41815</v>
      </c>
    </row>
    <row r="803" spans="1:16">
      <c r="A803" s="10">
        <v>2014</v>
      </c>
      <c r="B803" s="11" t="s">
        <v>483</v>
      </c>
      <c r="C803" s="11" t="s">
        <v>484</v>
      </c>
      <c r="D803" s="12">
        <v>1015042</v>
      </c>
      <c r="E803" s="12">
        <v>2</v>
      </c>
      <c r="F803" s="12"/>
      <c r="G803" s="12">
        <v>180</v>
      </c>
      <c r="H803" s="12" t="s">
        <v>64</v>
      </c>
      <c r="I803" s="12"/>
      <c r="J803" s="12" t="s">
        <v>361</v>
      </c>
      <c r="K803" s="12" t="b">
        <v>0</v>
      </c>
      <c r="L803" s="12">
        <v>0</v>
      </c>
      <c r="M803" s="8">
        <v>2014</v>
      </c>
      <c r="N803" s="9">
        <v>75000</v>
      </c>
      <c r="O803" s="13">
        <v>41815</v>
      </c>
      <c r="P803" s="13">
        <v>41815</v>
      </c>
    </row>
    <row r="804" spans="1:16">
      <c r="A804" s="10">
        <v>2014</v>
      </c>
      <c r="B804" s="11" t="s">
        <v>483</v>
      </c>
      <c r="C804" s="11" t="s">
        <v>484</v>
      </c>
      <c r="D804" s="12">
        <v>1015042</v>
      </c>
      <c r="E804" s="12">
        <v>2</v>
      </c>
      <c r="F804" s="12"/>
      <c r="G804" s="12">
        <v>180</v>
      </c>
      <c r="H804" s="12" t="s">
        <v>64</v>
      </c>
      <c r="I804" s="12"/>
      <c r="J804" s="12" t="s">
        <v>361</v>
      </c>
      <c r="K804" s="12" t="b">
        <v>0</v>
      </c>
      <c r="L804" s="12">
        <v>4</v>
      </c>
      <c r="M804" s="8">
        <v>2018</v>
      </c>
      <c r="N804" s="9">
        <v>43000</v>
      </c>
      <c r="O804" s="13">
        <v>41815</v>
      </c>
      <c r="P804" s="13">
        <v>41815</v>
      </c>
    </row>
    <row r="805" spans="1:16">
      <c r="A805" s="10">
        <v>2014</v>
      </c>
      <c r="B805" s="11" t="s">
        <v>483</v>
      </c>
      <c r="C805" s="11" t="s">
        <v>484</v>
      </c>
      <c r="D805" s="12">
        <v>1015042</v>
      </c>
      <c r="E805" s="12">
        <v>2</v>
      </c>
      <c r="F805" s="12"/>
      <c r="G805" s="12">
        <v>50</v>
      </c>
      <c r="H805" s="12" t="s">
        <v>45</v>
      </c>
      <c r="I805" s="12"/>
      <c r="J805" s="12" t="s">
        <v>46</v>
      </c>
      <c r="K805" s="12" t="b">
        <v>1</v>
      </c>
      <c r="L805" s="12">
        <v>6</v>
      </c>
      <c r="M805" s="8">
        <v>2020</v>
      </c>
      <c r="N805" s="9">
        <v>0</v>
      </c>
      <c r="O805" s="13">
        <v>41815</v>
      </c>
      <c r="P805" s="13">
        <v>41815</v>
      </c>
    </row>
    <row r="806" spans="1:16">
      <c r="A806" s="10">
        <v>2014</v>
      </c>
      <c r="B806" s="11" t="s">
        <v>483</v>
      </c>
      <c r="C806" s="11" t="s">
        <v>484</v>
      </c>
      <c r="D806" s="12">
        <v>1015042</v>
      </c>
      <c r="E806" s="12">
        <v>2</v>
      </c>
      <c r="F806" s="12"/>
      <c r="G806" s="12">
        <v>50</v>
      </c>
      <c r="H806" s="12" t="s">
        <v>45</v>
      </c>
      <c r="I806" s="12"/>
      <c r="J806" s="12" t="s">
        <v>46</v>
      </c>
      <c r="K806" s="12" t="b">
        <v>1</v>
      </c>
      <c r="L806" s="12">
        <v>3</v>
      </c>
      <c r="M806" s="8">
        <v>2017</v>
      </c>
      <c r="N806" s="9">
        <v>2349859</v>
      </c>
      <c r="O806" s="13">
        <v>41815</v>
      </c>
      <c r="P806" s="13">
        <v>41815</v>
      </c>
    </row>
    <row r="807" spans="1:16">
      <c r="A807" s="10">
        <v>2014</v>
      </c>
      <c r="B807" s="11" t="s">
        <v>483</v>
      </c>
      <c r="C807" s="11" t="s">
        <v>484</v>
      </c>
      <c r="D807" s="12">
        <v>1015042</v>
      </c>
      <c r="E807" s="12">
        <v>2</v>
      </c>
      <c r="F807" s="12"/>
      <c r="G807" s="12">
        <v>50</v>
      </c>
      <c r="H807" s="12" t="s">
        <v>45</v>
      </c>
      <c r="I807" s="12"/>
      <c r="J807" s="12" t="s">
        <v>46</v>
      </c>
      <c r="K807" s="12" t="b">
        <v>1</v>
      </c>
      <c r="L807" s="12">
        <v>0</v>
      </c>
      <c r="M807" s="8">
        <v>2014</v>
      </c>
      <c r="N807" s="9">
        <v>2147754</v>
      </c>
      <c r="O807" s="13">
        <v>41815</v>
      </c>
      <c r="P807" s="13">
        <v>41815</v>
      </c>
    </row>
    <row r="808" spans="1:16">
      <c r="A808" s="10">
        <v>2014</v>
      </c>
      <c r="B808" s="11" t="s">
        <v>483</v>
      </c>
      <c r="C808" s="11" t="s">
        <v>484</v>
      </c>
      <c r="D808" s="12">
        <v>1015042</v>
      </c>
      <c r="E808" s="12">
        <v>2</v>
      </c>
      <c r="F808" s="12"/>
      <c r="G808" s="12">
        <v>50</v>
      </c>
      <c r="H808" s="12" t="s">
        <v>45</v>
      </c>
      <c r="I808" s="12"/>
      <c r="J808" s="12" t="s">
        <v>46</v>
      </c>
      <c r="K808" s="12" t="b">
        <v>1</v>
      </c>
      <c r="L808" s="12">
        <v>2</v>
      </c>
      <c r="M808" s="8">
        <v>2016</v>
      </c>
      <c r="N808" s="9">
        <v>2281416</v>
      </c>
      <c r="O808" s="13">
        <v>41815</v>
      </c>
      <c r="P808" s="13">
        <v>41815</v>
      </c>
    </row>
    <row r="809" spans="1:16">
      <c r="A809" s="10">
        <v>2014</v>
      </c>
      <c r="B809" s="11" t="s">
        <v>483</v>
      </c>
      <c r="C809" s="11" t="s">
        <v>484</v>
      </c>
      <c r="D809" s="12">
        <v>1015042</v>
      </c>
      <c r="E809" s="12">
        <v>2</v>
      </c>
      <c r="F809" s="12"/>
      <c r="G809" s="12">
        <v>50</v>
      </c>
      <c r="H809" s="12" t="s">
        <v>45</v>
      </c>
      <c r="I809" s="12"/>
      <c r="J809" s="12" t="s">
        <v>46</v>
      </c>
      <c r="K809" s="12" t="b">
        <v>1</v>
      </c>
      <c r="L809" s="12">
        <v>7</v>
      </c>
      <c r="M809" s="8">
        <v>2021</v>
      </c>
      <c r="N809" s="9">
        <v>0</v>
      </c>
      <c r="O809" s="13">
        <v>41815</v>
      </c>
      <c r="P809" s="13">
        <v>41815</v>
      </c>
    </row>
    <row r="810" spans="1:16">
      <c r="A810" s="10">
        <v>2014</v>
      </c>
      <c r="B810" s="11" t="s">
        <v>483</v>
      </c>
      <c r="C810" s="11" t="s">
        <v>484</v>
      </c>
      <c r="D810" s="12">
        <v>1015042</v>
      </c>
      <c r="E810" s="12">
        <v>2</v>
      </c>
      <c r="F810" s="12"/>
      <c r="G810" s="12">
        <v>50</v>
      </c>
      <c r="H810" s="12" t="s">
        <v>45</v>
      </c>
      <c r="I810" s="12"/>
      <c r="J810" s="12" t="s">
        <v>46</v>
      </c>
      <c r="K810" s="12" t="b">
        <v>1</v>
      </c>
      <c r="L810" s="12">
        <v>5</v>
      </c>
      <c r="M810" s="8">
        <v>2019</v>
      </c>
      <c r="N810" s="9">
        <v>0</v>
      </c>
      <c r="O810" s="13">
        <v>41815</v>
      </c>
      <c r="P810" s="13">
        <v>41815</v>
      </c>
    </row>
    <row r="811" spans="1:16">
      <c r="A811" s="10">
        <v>2014</v>
      </c>
      <c r="B811" s="11" t="s">
        <v>483</v>
      </c>
      <c r="C811" s="11" t="s">
        <v>484</v>
      </c>
      <c r="D811" s="12">
        <v>1015042</v>
      </c>
      <c r="E811" s="12">
        <v>2</v>
      </c>
      <c r="F811" s="12"/>
      <c r="G811" s="12">
        <v>50</v>
      </c>
      <c r="H811" s="12" t="s">
        <v>45</v>
      </c>
      <c r="I811" s="12"/>
      <c r="J811" s="12" t="s">
        <v>46</v>
      </c>
      <c r="K811" s="12" t="b">
        <v>1</v>
      </c>
      <c r="L811" s="12">
        <v>4</v>
      </c>
      <c r="M811" s="8">
        <v>2018</v>
      </c>
      <c r="N811" s="9">
        <v>0</v>
      </c>
      <c r="O811" s="13">
        <v>41815</v>
      </c>
      <c r="P811" s="13">
        <v>41815</v>
      </c>
    </row>
    <row r="812" spans="1:16">
      <c r="A812" s="10">
        <v>2014</v>
      </c>
      <c r="B812" s="11" t="s">
        <v>483</v>
      </c>
      <c r="C812" s="11" t="s">
        <v>484</v>
      </c>
      <c r="D812" s="12">
        <v>1015042</v>
      </c>
      <c r="E812" s="12">
        <v>2</v>
      </c>
      <c r="F812" s="12"/>
      <c r="G812" s="12">
        <v>50</v>
      </c>
      <c r="H812" s="12" t="s">
        <v>45</v>
      </c>
      <c r="I812" s="12"/>
      <c r="J812" s="12" t="s">
        <v>46</v>
      </c>
      <c r="K812" s="12" t="b">
        <v>1</v>
      </c>
      <c r="L812" s="12">
        <v>8</v>
      </c>
      <c r="M812" s="8">
        <v>2022</v>
      </c>
      <c r="N812" s="9">
        <v>0</v>
      </c>
      <c r="O812" s="13">
        <v>41815</v>
      </c>
      <c r="P812" s="13">
        <v>41815</v>
      </c>
    </row>
    <row r="813" spans="1:16">
      <c r="A813" s="10">
        <v>2014</v>
      </c>
      <c r="B813" s="11" t="s">
        <v>483</v>
      </c>
      <c r="C813" s="11" t="s">
        <v>484</v>
      </c>
      <c r="D813" s="12">
        <v>1015042</v>
      </c>
      <c r="E813" s="12">
        <v>2</v>
      </c>
      <c r="F813" s="12"/>
      <c r="G813" s="12">
        <v>50</v>
      </c>
      <c r="H813" s="12" t="s">
        <v>45</v>
      </c>
      <c r="I813" s="12"/>
      <c r="J813" s="12" t="s">
        <v>46</v>
      </c>
      <c r="K813" s="12" t="b">
        <v>1</v>
      </c>
      <c r="L813" s="12">
        <v>1</v>
      </c>
      <c r="M813" s="8">
        <v>2015</v>
      </c>
      <c r="N813" s="9">
        <v>2214967</v>
      </c>
      <c r="O813" s="13">
        <v>41815</v>
      </c>
      <c r="P813" s="13">
        <v>41815</v>
      </c>
    </row>
    <row r="814" spans="1:16">
      <c r="A814" s="10">
        <v>2014</v>
      </c>
      <c r="B814" s="11" t="s">
        <v>483</v>
      </c>
      <c r="C814" s="11" t="s">
        <v>484</v>
      </c>
      <c r="D814" s="12">
        <v>1015042</v>
      </c>
      <c r="E814" s="12">
        <v>2</v>
      </c>
      <c r="F814" s="12"/>
      <c r="G814" s="12">
        <v>690</v>
      </c>
      <c r="H814" s="12" t="s">
        <v>101</v>
      </c>
      <c r="I814" s="12"/>
      <c r="J814" s="12" t="s">
        <v>102</v>
      </c>
      <c r="K814" s="12" t="b">
        <v>1</v>
      </c>
      <c r="L814" s="12">
        <v>4</v>
      </c>
      <c r="M814" s="8">
        <v>2018</v>
      </c>
      <c r="N814" s="9">
        <v>0</v>
      </c>
      <c r="O814" s="13">
        <v>41815</v>
      </c>
      <c r="P814" s="13">
        <v>41815</v>
      </c>
    </row>
    <row r="815" spans="1:16">
      <c r="A815" s="10">
        <v>2014</v>
      </c>
      <c r="B815" s="11" t="s">
        <v>483</v>
      </c>
      <c r="C815" s="11" t="s">
        <v>484</v>
      </c>
      <c r="D815" s="12">
        <v>1015042</v>
      </c>
      <c r="E815" s="12">
        <v>2</v>
      </c>
      <c r="F815" s="12"/>
      <c r="G815" s="12">
        <v>690</v>
      </c>
      <c r="H815" s="12" t="s">
        <v>101</v>
      </c>
      <c r="I815" s="12"/>
      <c r="J815" s="12" t="s">
        <v>102</v>
      </c>
      <c r="K815" s="12" t="b">
        <v>1</v>
      </c>
      <c r="L815" s="12">
        <v>8</v>
      </c>
      <c r="M815" s="8">
        <v>2022</v>
      </c>
      <c r="N815" s="9">
        <v>0</v>
      </c>
      <c r="O815" s="13">
        <v>41815</v>
      </c>
      <c r="P815" s="13">
        <v>41815</v>
      </c>
    </row>
    <row r="816" spans="1:16">
      <c r="A816" s="10">
        <v>2014</v>
      </c>
      <c r="B816" s="11" t="s">
        <v>483</v>
      </c>
      <c r="C816" s="11" t="s">
        <v>484</v>
      </c>
      <c r="D816" s="12">
        <v>1015042</v>
      </c>
      <c r="E816" s="12">
        <v>2</v>
      </c>
      <c r="F816" s="12"/>
      <c r="G816" s="12">
        <v>690</v>
      </c>
      <c r="H816" s="12" t="s">
        <v>101</v>
      </c>
      <c r="I816" s="12"/>
      <c r="J816" s="12" t="s">
        <v>102</v>
      </c>
      <c r="K816" s="12" t="b">
        <v>1</v>
      </c>
      <c r="L816" s="12">
        <v>7</v>
      </c>
      <c r="M816" s="8">
        <v>2021</v>
      </c>
      <c r="N816" s="9">
        <v>0</v>
      </c>
      <c r="O816" s="13">
        <v>41815</v>
      </c>
      <c r="P816" s="13">
        <v>41815</v>
      </c>
    </row>
    <row r="817" spans="1:16">
      <c r="A817" s="10">
        <v>2014</v>
      </c>
      <c r="B817" s="11" t="s">
        <v>483</v>
      </c>
      <c r="C817" s="11" t="s">
        <v>484</v>
      </c>
      <c r="D817" s="12">
        <v>1015042</v>
      </c>
      <c r="E817" s="12">
        <v>2</v>
      </c>
      <c r="F817" s="12"/>
      <c r="G817" s="12">
        <v>690</v>
      </c>
      <c r="H817" s="12" t="s">
        <v>101</v>
      </c>
      <c r="I817" s="12"/>
      <c r="J817" s="12" t="s">
        <v>102</v>
      </c>
      <c r="K817" s="12" t="b">
        <v>1</v>
      </c>
      <c r="L817" s="12">
        <v>6</v>
      </c>
      <c r="M817" s="8">
        <v>2020</v>
      </c>
      <c r="N817" s="9">
        <v>0</v>
      </c>
      <c r="O817" s="13">
        <v>41815</v>
      </c>
      <c r="P817" s="13">
        <v>41815</v>
      </c>
    </row>
    <row r="818" spans="1:16">
      <c r="A818" s="10">
        <v>2014</v>
      </c>
      <c r="B818" s="11" t="s">
        <v>483</v>
      </c>
      <c r="C818" s="11" t="s">
        <v>484</v>
      </c>
      <c r="D818" s="12">
        <v>1015042</v>
      </c>
      <c r="E818" s="12">
        <v>2</v>
      </c>
      <c r="F818" s="12"/>
      <c r="G818" s="12">
        <v>690</v>
      </c>
      <c r="H818" s="12" t="s">
        <v>101</v>
      </c>
      <c r="I818" s="12"/>
      <c r="J818" s="12" t="s">
        <v>102</v>
      </c>
      <c r="K818" s="12" t="b">
        <v>1</v>
      </c>
      <c r="L818" s="12">
        <v>3</v>
      </c>
      <c r="M818" s="8">
        <v>2017</v>
      </c>
      <c r="N818" s="9">
        <v>0</v>
      </c>
      <c r="O818" s="13">
        <v>41815</v>
      </c>
      <c r="P818" s="13">
        <v>41815</v>
      </c>
    </row>
    <row r="819" spans="1:16">
      <c r="A819" s="10">
        <v>2014</v>
      </c>
      <c r="B819" s="11" t="s">
        <v>483</v>
      </c>
      <c r="C819" s="11" t="s">
        <v>484</v>
      </c>
      <c r="D819" s="12">
        <v>1015042</v>
      </c>
      <c r="E819" s="12">
        <v>2</v>
      </c>
      <c r="F819" s="12"/>
      <c r="G819" s="12">
        <v>690</v>
      </c>
      <c r="H819" s="12" t="s">
        <v>101</v>
      </c>
      <c r="I819" s="12"/>
      <c r="J819" s="12" t="s">
        <v>102</v>
      </c>
      <c r="K819" s="12" t="b">
        <v>1</v>
      </c>
      <c r="L819" s="12">
        <v>0</v>
      </c>
      <c r="M819" s="8">
        <v>2014</v>
      </c>
      <c r="N819" s="9">
        <v>141827.34</v>
      </c>
      <c r="O819" s="13">
        <v>41815</v>
      </c>
      <c r="P819" s="13">
        <v>41815</v>
      </c>
    </row>
    <row r="820" spans="1:16">
      <c r="A820" s="10">
        <v>2014</v>
      </c>
      <c r="B820" s="11" t="s">
        <v>483</v>
      </c>
      <c r="C820" s="11" t="s">
        <v>484</v>
      </c>
      <c r="D820" s="12">
        <v>1015042</v>
      </c>
      <c r="E820" s="12">
        <v>2</v>
      </c>
      <c r="F820" s="12"/>
      <c r="G820" s="12">
        <v>690</v>
      </c>
      <c r="H820" s="12" t="s">
        <v>101</v>
      </c>
      <c r="I820" s="12"/>
      <c r="J820" s="12" t="s">
        <v>102</v>
      </c>
      <c r="K820" s="12" t="b">
        <v>1</v>
      </c>
      <c r="L820" s="12">
        <v>1</v>
      </c>
      <c r="M820" s="8">
        <v>2015</v>
      </c>
      <c r="N820" s="9">
        <v>60298.32</v>
      </c>
      <c r="O820" s="13">
        <v>41815</v>
      </c>
      <c r="P820" s="13">
        <v>41815</v>
      </c>
    </row>
    <row r="821" spans="1:16">
      <c r="A821" s="10">
        <v>2014</v>
      </c>
      <c r="B821" s="11" t="s">
        <v>483</v>
      </c>
      <c r="C821" s="11" t="s">
        <v>484</v>
      </c>
      <c r="D821" s="12">
        <v>1015042</v>
      </c>
      <c r="E821" s="12">
        <v>2</v>
      </c>
      <c r="F821" s="12"/>
      <c r="G821" s="12">
        <v>690</v>
      </c>
      <c r="H821" s="12" t="s">
        <v>101</v>
      </c>
      <c r="I821" s="12"/>
      <c r="J821" s="12" t="s">
        <v>102</v>
      </c>
      <c r="K821" s="12" t="b">
        <v>1</v>
      </c>
      <c r="L821" s="12">
        <v>2</v>
      </c>
      <c r="M821" s="8">
        <v>2016</v>
      </c>
      <c r="N821" s="9">
        <v>0</v>
      </c>
      <c r="O821" s="13">
        <v>41815</v>
      </c>
      <c r="P821" s="13">
        <v>41815</v>
      </c>
    </row>
    <row r="822" spans="1:16">
      <c r="A822" s="10">
        <v>2014</v>
      </c>
      <c r="B822" s="11" t="s">
        <v>483</v>
      </c>
      <c r="C822" s="11" t="s">
        <v>484</v>
      </c>
      <c r="D822" s="12">
        <v>1015042</v>
      </c>
      <c r="E822" s="12">
        <v>2</v>
      </c>
      <c r="F822" s="12"/>
      <c r="G822" s="12">
        <v>690</v>
      </c>
      <c r="H822" s="12" t="s">
        <v>101</v>
      </c>
      <c r="I822" s="12"/>
      <c r="J822" s="12" t="s">
        <v>102</v>
      </c>
      <c r="K822" s="12" t="b">
        <v>1</v>
      </c>
      <c r="L822" s="12">
        <v>5</v>
      </c>
      <c r="M822" s="8">
        <v>2019</v>
      </c>
      <c r="N822" s="9">
        <v>0</v>
      </c>
      <c r="O822" s="13">
        <v>41815</v>
      </c>
      <c r="P822" s="13">
        <v>41815</v>
      </c>
    </row>
    <row r="823" spans="1:16">
      <c r="A823" s="10">
        <v>2014</v>
      </c>
      <c r="B823" s="11" t="s">
        <v>483</v>
      </c>
      <c r="C823" s="11" t="s">
        <v>484</v>
      </c>
      <c r="D823" s="12">
        <v>1015042</v>
      </c>
      <c r="E823" s="12">
        <v>2</v>
      </c>
      <c r="F823" s="12"/>
      <c r="G823" s="12">
        <v>670</v>
      </c>
      <c r="H823" s="12">
        <v>12.1</v>
      </c>
      <c r="I823" s="12"/>
      <c r="J823" s="12" t="s">
        <v>98</v>
      </c>
      <c r="K823" s="12" t="b">
        <v>1</v>
      </c>
      <c r="L823" s="12">
        <v>7</v>
      </c>
      <c r="M823" s="8">
        <v>2021</v>
      </c>
      <c r="N823" s="9">
        <v>0</v>
      </c>
      <c r="O823" s="13">
        <v>41815</v>
      </c>
      <c r="P823" s="13">
        <v>41815</v>
      </c>
    </row>
    <row r="824" spans="1:16">
      <c r="A824" s="10">
        <v>2014</v>
      </c>
      <c r="B824" s="11" t="s">
        <v>483</v>
      </c>
      <c r="C824" s="11" t="s">
        <v>484</v>
      </c>
      <c r="D824" s="12">
        <v>1015042</v>
      </c>
      <c r="E824" s="12">
        <v>2</v>
      </c>
      <c r="F824" s="12"/>
      <c r="G824" s="12">
        <v>670</v>
      </c>
      <c r="H824" s="12">
        <v>12.1</v>
      </c>
      <c r="I824" s="12"/>
      <c r="J824" s="12" t="s">
        <v>98</v>
      </c>
      <c r="K824" s="12" t="b">
        <v>1</v>
      </c>
      <c r="L824" s="12">
        <v>3</v>
      </c>
      <c r="M824" s="8">
        <v>2017</v>
      </c>
      <c r="N824" s="9">
        <v>0</v>
      </c>
      <c r="O824" s="13">
        <v>41815</v>
      </c>
      <c r="P824" s="13">
        <v>41815</v>
      </c>
    </row>
    <row r="825" spans="1:16">
      <c r="A825" s="10">
        <v>2014</v>
      </c>
      <c r="B825" s="11" t="s">
        <v>483</v>
      </c>
      <c r="C825" s="11" t="s">
        <v>484</v>
      </c>
      <c r="D825" s="12">
        <v>1015042</v>
      </c>
      <c r="E825" s="12">
        <v>2</v>
      </c>
      <c r="F825" s="12"/>
      <c r="G825" s="12">
        <v>670</v>
      </c>
      <c r="H825" s="12">
        <v>12.1</v>
      </c>
      <c r="I825" s="12"/>
      <c r="J825" s="12" t="s">
        <v>98</v>
      </c>
      <c r="K825" s="12" t="b">
        <v>1</v>
      </c>
      <c r="L825" s="12">
        <v>0</v>
      </c>
      <c r="M825" s="8">
        <v>2014</v>
      </c>
      <c r="N825" s="9">
        <v>166855.70000000001</v>
      </c>
      <c r="O825" s="13">
        <v>41815</v>
      </c>
      <c r="P825" s="13">
        <v>41815</v>
      </c>
    </row>
    <row r="826" spans="1:16">
      <c r="A826" s="10">
        <v>2014</v>
      </c>
      <c r="B826" s="11" t="s">
        <v>483</v>
      </c>
      <c r="C826" s="11" t="s">
        <v>484</v>
      </c>
      <c r="D826" s="12">
        <v>1015042</v>
      </c>
      <c r="E826" s="12">
        <v>2</v>
      </c>
      <c r="F826" s="12"/>
      <c r="G826" s="12">
        <v>670</v>
      </c>
      <c r="H826" s="12">
        <v>12.1</v>
      </c>
      <c r="I826" s="12"/>
      <c r="J826" s="12" t="s">
        <v>98</v>
      </c>
      <c r="K826" s="12" t="b">
        <v>1</v>
      </c>
      <c r="L826" s="12">
        <v>1</v>
      </c>
      <c r="M826" s="8">
        <v>2015</v>
      </c>
      <c r="N826" s="9">
        <v>70939.199999999997</v>
      </c>
      <c r="O826" s="13">
        <v>41815</v>
      </c>
      <c r="P826" s="13">
        <v>41815</v>
      </c>
    </row>
    <row r="827" spans="1:16">
      <c r="A827" s="10">
        <v>2014</v>
      </c>
      <c r="B827" s="11" t="s">
        <v>483</v>
      </c>
      <c r="C827" s="11" t="s">
        <v>484</v>
      </c>
      <c r="D827" s="12">
        <v>1015042</v>
      </c>
      <c r="E827" s="12">
        <v>2</v>
      </c>
      <c r="F827" s="12"/>
      <c r="G827" s="12">
        <v>670</v>
      </c>
      <c r="H827" s="12">
        <v>12.1</v>
      </c>
      <c r="I827" s="12"/>
      <c r="J827" s="12" t="s">
        <v>98</v>
      </c>
      <c r="K827" s="12" t="b">
        <v>1</v>
      </c>
      <c r="L827" s="12">
        <v>6</v>
      </c>
      <c r="M827" s="8">
        <v>2020</v>
      </c>
      <c r="N827" s="9">
        <v>0</v>
      </c>
      <c r="O827" s="13">
        <v>41815</v>
      </c>
      <c r="P827" s="13">
        <v>41815</v>
      </c>
    </row>
    <row r="828" spans="1:16">
      <c r="A828" s="10">
        <v>2014</v>
      </c>
      <c r="B828" s="11" t="s">
        <v>483</v>
      </c>
      <c r="C828" s="11" t="s">
        <v>484</v>
      </c>
      <c r="D828" s="12">
        <v>1015042</v>
      </c>
      <c r="E828" s="12">
        <v>2</v>
      </c>
      <c r="F828" s="12"/>
      <c r="G828" s="12">
        <v>670</v>
      </c>
      <c r="H828" s="12">
        <v>12.1</v>
      </c>
      <c r="I828" s="12"/>
      <c r="J828" s="12" t="s">
        <v>98</v>
      </c>
      <c r="K828" s="12" t="b">
        <v>1</v>
      </c>
      <c r="L828" s="12">
        <v>5</v>
      </c>
      <c r="M828" s="8">
        <v>2019</v>
      </c>
      <c r="N828" s="9">
        <v>0</v>
      </c>
      <c r="O828" s="13">
        <v>41815</v>
      </c>
      <c r="P828" s="13">
        <v>41815</v>
      </c>
    </row>
    <row r="829" spans="1:16">
      <c r="A829" s="10">
        <v>2014</v>
      </c>
      <c r="B829" s="11" t="s">
        <v>483</v>
      </c>
      <c r="C829" s="11" t="s">
        <v>484</v>
      </c>
      <c r="D829" s="12">
        <v>1015042</v>
      </c>
      <c r="E829" s="12">
        <v>2</v>
      </c>
      <c r="F829" s="12"/>
      <c r="G829" s="12">
        <v>670</v>
      </c>
      <c r="H829" s="12">
        <v>12.1</v>
      </c>
      <c r="I829" s="12"/>
      <c r="J829" s="12" t="s">
        <v>98</v>
      </c>
      <c r="K829" s="12" t="b">
        <v>1</v>
      </c>
      <c r="L829" s="12">
        <v>8</v>
      </c>
      <c r="M829" s="8">
        <v>2022</v>
      </c>
      <c r="N829" s="9">
        <v>0</v>
      </c>
      <c r="O829" s="13">
        <v>41815</v>
      </c>
      <c r="P829" s="13">
        <v>41815</v>
      </c>
    </row>
    <row r="830" spans="1:16">
      <c r="A830" s="10">
        <v>2014</v>
      </c>
      <c r="B830" s="11" t="s">
        <v>483</v>
      </c>
      <c r="C830" s="11" t="s">
        <v>484</v>
      </c>
      <c r="D830" s="12">
        <v>1015042</v>
      </c>
      <c r="E830" s="12">
        <v>2</v>
      </c>
      <c r="F830" s="12"/>
      <c r="G830" s="12">
        <v>670</v>
      </c>
      <c r="H830" s="12">
        <v>12.1</v>
      </c>
      <c r="I830" s="12"/>
      <c r="J830" s="12" t="s">
        <v>98</v>
      </c>
      <c r="K830" s="12" t="b">
        <v>1</v>
      </c>
      <c r="L830" s="12">
        <v>4</v>
      </c>
      <c r="M830" s="8">
        <v>2018</v>
      </c>
      <c r="N830" s="9">
        <v>0</v>
      </c>
      <c r="O830" s="13">
        <v>41815</v>
      </c>
      <c r="P830" s="13">
        <v>41815</v>
      </c>
    </row>
    <row r="831" spans="1:16">
      <c r="A831" s="10">
        <v>2014</v>
      </c>
      <c r="B831" s="11" t="s">
        <v>483</v>
      </c>
      <c r="C831" s="11" t="s">
        <v>484</v>
      </c>
      <c r="D831" s="12">
        <v>1015042</v>
      </c>
      <c r="E831" s="12">
        <v>2</v>
      </c>
      <c r="F831" s="12"/>
      <c r="G831" s="12">
        <v>670</v>
      </c>
      <c r="H831" s="12">
        <v>12.1</v>
      </c>
      <c r="I831" s="12"/>
      <c r="J831" s="12" t="s">
        <v>98</v>
      </c>
      <c r="K831" s="12" t="b">
        <v>1</v>
      </c>
      <c r="L831" s="12">
        <v>2</v>
      </c>
      <c r="M831" s="8">
        <v>2016</v>
      </c>
      <c r="N831" s="9">
        <v>0</v>
      </c>
      <c r="O831" s="13">
        <v>41815</v>
      </c>
      <c r="P831" s="13">
        <v>41815</v>
      </c>
    </row>
    <row r="832" spans="1:16">
      <c r="A832" s="10">
        <v>2014</v>
      </c>
      <c r="B832" s="11" t="s">
        <v>483</v>
      </c>
      <c r="C832" s="11" t="s">
        <v>484</v>
      </c>
      <c r="D832" s="12">
        <v>1015042</v>
      </c>
      <c r="E832" s="12">
        <v>2</v>
      </c>
      <c r="F832" s="12"/>
      <c r="G832" s="12">
        <v>610</v>
      </c>
      <c r="H832" s="12" t="s">
        <v>90</v>
      </c>
      <c r="I832" s="12"/>
      <c r="J832" s="12" t="s">
        <v>91</v>
      </c>
      <c r="K832" s="12" t="b">
        <v>1</v>
      </c>
      <c r="L832" s="12">
        <v>2</v>
      </c>
      <c r="M832" s="8">
        <v>2016</v>
      </c>
      <c r="N832" s="9">
        <v>0</v>
      </c>
      <c r="O832" s="13">
        <v>41815</v>
      </c>
      <c r="P832" s="13">
        <v>41815</v>
      </c>
    </row>
    <row r="833" spans="1:16">
      <c r="A833" s="10">
        <v>2014</v>
      </c>
      <c r="B833" s="11" t="s">
        <v>483</v>
      </c>
      <c r="C833" s="11" t="s">
        <v>484</v>
      </c>
      <c r="D833" s="12">
        <v>1015042</v>
      </c>
      <c r="E833" s="12">
        <v>2</v>
      </c>
      <c r="F833" s="12"/>
      <c r="G833" s="12">
        <v>610</v>
      </c>
      <c r="H833" s="12" t="s">
        <v>90</v>
      </c>
      <c r="I833" s="12"/>
      <c r="J833" s="12" t="s">
        <v>91</v>
      </c>
      <c r="K833" s="12" t="b">
        <v>1</v>
      </c>
      <c r="L833" s="12">
        <v>1</v>
      </c>
      <c r="M833" s="8">
        <v>2015</v>
      </c>
      <c r="N833" s="9">
        <v>70939.199999999997</v>
      </c>
      <c r="O833" s="13">
        <v>41815</v>
      </c>
      <c r="P833" s="13">
        <v>41815</v>
      </c>
    </row>
    <row r="834" spans="1:16">
      <c r="A834" s="10">
        <v>2014</v>
      </c>
      <c r="B834" s="11" t="s">
        <v>483</v>
      </c>
      <c r="C834" s="11" t="s">
        <v>484</v>
      </c>
      <c r="D834" s="12">
        <v>1015042</v>
      </c>
      <c r="E834" s="12">
        <v>2</v>
      </c>
      <c r="F834" s="12"/>
      <c r="G834" s="12">
        <v>610</v>
      </c>
      <c r="H834" s="12" t="s">
        <v>90</v>
      </c>
      <c r="I834" s="12"/>
      <c r="J834" s="12" t="s">
        <v>91</v>
      </c>
      <c r="K834" s="12" t="b">
        <v>1</v>
      </c>
      <c r="L834" s="12">
        <v>5</v>
      </c>
      <c r="M834" s="8">
        <v>2019</v>
      </c>
      <c r="N834" s="9">
        <v>0</v>
      </c>
      <c r="O834" s="13">
        <v>41815</v>
      </c>
      <c r="P834" s="13">
        <v>41815</v>
      </c>
    </row>
    <row r="835" spans="1:16">
      <c r="A835" s="10">
        <v>2014</v>
      </c>
      <c r="B835" s="11" t="s">
        <v>483</v>
      </c>
      <c r="C835" s="11" t="s">
        <v>484</v>
      </c>
      <c r="D835" s="12">
        <v>1015042</v>
      </c>
      <c r="E835" s="12">
        <v>2</v>
      </c>
      <c r="F835" s="12"/>
      <c r="G835" s="12">
        <v>610</v>
      </c>
      <c r="H835" s="12" t="s">
        <v>90</v>
      </c>
      <c r="I835" s="12"/>
      <c r="J835" s="12" t="s">
        <v>91</v>
      </c>
      <c r="K835" s="12" t="b">
        <v>1</v>
      </c>
      <c r="L835" s="12">
        <v>4</v>
      </c>
      <c r="M835" s="8">
        <v>2018</v>
      </c>
      <c r="N835" s="9">
        <v>0</v>
      </c>
      <c r="O835" s="13">
        <v>41815</v>
      </c>
      <c r="P835" s="13">
        <v>41815</v>
      </c>
    </row>
    <row r="836" spans="1:16">
      <c r="A836" s="10">
        <v>2014</v>
      </c>
      <c r="B836" s="11" t="s">
        <v>483</v>
      </c>
      <c r="C836" s="11" t="s">
        <v>484</v>
      </c>
      <c r="D836" s="12">
        <v>1015042</v>
      </c>
      <c r="E836" s="12">
        <v>2</v>
      </c>
      <c r="F836" s="12"/>
      <c r="G836" s="12">
        <v>610</v>
      </c>
      <c r="H836" s="12" t="s">
        <v>90</v>
      </c>
      <c r="I836" s="12"/>
      <c r="J836" s="12" t="s">
        <v>91</v>
      </c>
      <c r="K836" s="12" t="b">
        <v>1</v>
      </c>
      <c r="L836" s="12">
        <v>0</v>
      </c>
      <c r="M836" s="8">
        <v>2014</v>
      </c>
      <c r="N836" s="9">
        <v>101285.8</v>
      </c>
      <c r="O836" s="13">
        <v>41815</v>
      </c>
      <c r="P836" s="13">
        <v>41815</v>
      </c>
    </row>
    <row r="837" spans="1:16">
      <c r="A837" s="10">
        <v>2014</v>
      </c>
      <c r="B837" s="11" t="s">
        <v>483</v>
      </c>
      <c r="C837" s="11" t="s">
        <v>484</v>
      </c>
      <c r="D837" s="12">
        <v>1015042</v>
      </c>
      <c r="E837" s="12">
        <v>2</v>
      </c>
      <c r="F837" s="12"/>
      <c r="G837" s="12">
        <v>610</v>
      </c>
      <c r="H837" s="12" t="s">
        <v>90</v>
      </c>
      <c r="I837" s="12"/>
      <c r="J837" s="12" t="s">
        <v>91</v>
      </c>
      <c r="K837" s="12" t="b">
        <v>1</v>
      </c>
      <c r="L837" s="12">
        <v>3</v>
      </c>
      <c r="M837" s="8">
        <v>2017</v>
      </c>
      <c r="N837" s="9">
        <v>0</v>
      </c>
      <c r="O837" s="13">
        <v>41815</v>
      </c>
      <c r="P837" s="13">
        <v>41815</v>
      </c>
    </row>
    <row r="838" spans="1:16">
      <c r="A838" s="10">
        <v>2014</v>
      </c>
      <c r="B838" s="11" t="s">
        <v>483</v>
      </c>
      <c r="C838" s="11" t="s">
        <v>484</v>
      </c>
      <c r="D838" s="12">
        <v>1015042</v>
      </c>
      <c r="E838" s="12">
        <v>2</v>
      </c>
      <c r="F838" s="12"/>
      <c r="G838" s="12">
        <v>610</v>
      </c>
      <c r="H838" s="12" t="s">
        <v>90</v>
      </c>
      <c r="I838" s="12"/>
      <c r="J838" s="12" t="s">
        <v>91</v>
      </c>
      <c r="K838" s="12" t="b">
        <v>1</v>
      </c>
      <c r="L838" s="12">
        <v>6</v>
      </c>
      <c r="M838" s="8">
        <v>2020</v>
      </c>
      <c r="N838" s="9">
        <v>0</v>
      </c>
      <c r="O838" s="13">
        <v>41815</v>
      </c>
      <c r="P838" s="13">
        <v>41815</v>
      </c>
    </row>
    <row r="839" spans="1:16">
      <c r="A839" s="10">
        <v>2014</v>
      </c>
      <c r="B839" s="11" t="s">
        <v>483</v>
      </c>
      <c r="C839" s="11" t="s">
        <v>484</v>
      </c>
      <c r="D839" s="12">
        <v>1015042</v>
      </c>
      <c r="E839" s="12">
        <v>2</v>
      </c>
      <c r="F839" s="12"/>
      <c r="G839" s="12">
        <v>610</v>
      </c>
      <c r="H839" s="12" t="s">
        <v>90</v>
      </c>
      <c r="I839" s="12"/>
      <c r="J839" s="12" t="s">
        <v>91</v>
      </c>
      <c r="K839" s="12" t="b">
        <v>1</v>
      </c>
      <c r="L839" s="12">
        <v>8</v>
      </c>
      <c r="M839" s="8">
        <v>2022</v>
      </c>
      <c r="N839" s="9">
        <v>0</v>
      </c>
      <c r="O839" s="13">
        <v>41815</v>
      </c>
      <c r="P839" s="13">
        <v>41815</v>
      </c>
    </row>
    <row r="840" spans="1:16">
      <c r="A840" s="10">
        <v>2014</v>
      </c>
      <c r="B840" s="11" t="s">
        <v>483</v>
      </c>
      <c r="C840" s="11" t="s">
        <v>484</v>
      </c>
      <c r="D840" s="12">
        <v>1015042</v>
      </c>
      <c r="E840" s="12">
        <v>2</v>
      </c>
      <c r="F840" s="12"/>
      <c r="G840" s="12">
        <v>610</v>
      </c>
      <c r="H840" s="12" t="s">
        <v>90</v>
      </c>
      <c r="I840" s="12"/>
      <c r="J840" s="12" t="s">
        <v>91</v>
      </c>
      <c r="K840" s="12" t="b">
        <v>1</v>
      </c>
      <c r="L840" s="12">
        <v>7</v>
      </c>
      <c r="M840" s="8">
        <v>2021</v>
      </c>
      <c r="N840" s="9">
        <v>0</v>
      </c>
      <c r="O840" s="13">
        <v>41815</v>
      </c>
      <c r="P840" s="13">
        <v>41815</v>
      </c>
    </row>
    <row r="841" spans="1:16">
      <c r="A841" s="10">
        <v>2014</v>
      </c>
      <c r="B841" s="11" t="s">
        <v>483</v>
      </c>
      <c r="C841" s="11" t="s">
        <v>484</v>
      </c>
      <c r="D841" s="12">
        <v>1015042</v>
      </c>
      <c r="E841" s="12">
        <v>2</v>
      </c>
      <c r="F841" s="12"/>
      <c r="G841" s="12">
        <v>761</v>
      </c>
      <c r="H841" s="12" t="s">
        <v>114</v>
      </c>
      <c r="I841" s="12"/>
      <c r="J841" s="12" t="s">
        <v>115</v>
      </c>
      <c r="K841" s="12" t="b">
        <v>1</v>
      </c>
      <c r="L841" s="12">
        <v>0</v>
      </c>
      <c r="M841" s="8">
        <v>2014</v>
      </c>
      <c r="N841" s="9">
        <v>578755.01</v>
      </c>
      <c r="O841" s="13">
        <v>41815</v>
      </c>
      <c r="P841" s="13">
        <v>41815</v>
      </c>
    </row>
    <row r="842" spans="1:16">
      <c r="A842" s="10">
        <v>2014</v>
      </c>
      <c r="B842" s="11" t="s">
        <v>483</v>
      </c>
      <c r="C842" s="11" t="s">
        <v>484</v>
      </c>
      <c r="D842" s="12">
        <v>1015042</v>
      </c>
      <c r="E842" s="12">
        <v>2</v>
      </c>
      <c r="F842" s="12"/>
      <c r="G842" s="12">
        <v>761</v>
      </c>
      <c r="H842" s="12" t="s">
        <v>114</v>
      </c>
      <c r="I842" s="12"/>
      <c r="J842" s="12" t="s">
        <v>115</v>
      </c>
      <c r="K842" s="12" t="b">
        <v>1</v>
      </c>
      <c r="L842" s="12">
        <v>2</v>
      </c>
      <c r="M842" s="8">
        <v>2016</v>
      </c>
      <c r="N842" s="9">
        <v>0</v>
      </c>
      <c r="O842" s="13">
        <v>41815</v>
      </c>
      <c r="P842" s="13">
        <v>41815</v>
      </c>
    </row>
    <row r="843" spans="1:16">
      <c r="A843" s="10">
        <v>2014</v>
      </c>
      <c r="B843" s="11" t="s">
        <v>483</v>
      </c>
      <c r="C843" s="11" t="s">
        <v>484</v>
      </c>
      <c r="D843" s="12">
        <v>1015042</v>
      </c>
      <c r="E843" s="12">
        <v>2</v>
      </c>
      <c r="F843" s="12"/>
      <c r="G843" s="12">
        <v>761</v>
      </c>
      <c r="H843" s="12" t="s">
        <v>114</v>
      </c>
      <c r="I843" s="12"/>
      <c r="J843" s="12" t="s">
        <v>115</v>
      </c>
      <c r="K843" s="12" t="b">
        <v>1</v>
      </c>
      <c r="L843" s="12">
        <v>1</v>
      </c>
      <c r="M843" s="8">
        <v>2015</v>
      </c>
      <c r="N843" s="9">
        <v>0</v>
      </c>
      <c r="O843" s="13">
        <v>41815</v>
      </c>
      <c r="P843" s="13">
        <v>41815</v>
      </c>
    </row>
    <row r="844" spans="1:16">
      <c r="A844" s="10">
        <v>2014</v>
      </c>
      <c r="B844" s="11" t="s">
        <v>483</v>
      </c>
      <c r="C844" s="11" t="s">
        <v>484</v>
      </c>
      <c r="D844" s="12">
        <v>1015042</v>
      </c>
      <c r="E844" s="12">
        <v>2</v>
      </c>
      <c r="F844" s="12"/>
      <c r="G844" s="12">
        <v>761</v>
      </c>
      <c r="H844" s="12" t="s">
        <v>114</v>
      </c>
      <c r="I844" s="12"/>
      <c r="J844" s="12" t="s">
        <v>115</v>
      </c>
      <c r="K844" s="12" t="b">
        <v>1</v>
      </c>
      <c r="L844" s="12">
        <v>8</v>
      </c>
      <c r="M844" s="8">
        <v>2022</v>
      </c>
      <c r="N844" s="9">
        <v>0</v>
      </c>
      <c r="O844" s="13">
        <v>41815</v>
      </c>
      <c r="P844" s="13">
        <v>41815</v>
      </c>
    </row>
    <row r="845" spans="1:16">
      <c r="A845" s="10">
        <v>2014</v>
      </c>
      <c r="B845" s="11" t="s">
        <v>483</v>
      </c>
      <c r="C845" s="11" t="s">
        <v>484</v>
      </c>
      <c r="D845" s="12">
        <v>1015042</v>
      </c>
      <c r="E845" s="12">
        <v>2</v>
      </c>
      <c r="F845" s="12"/>
      <c r="G845" s="12">
        <v>761</v>
      </c>
      <c r="H845" s="12" t="s">
        <v>114</v>
      </c>
      <c r="I845" s="12"/>
      <c r="J845" s="12" t="s">
        <v>115</v>
      </c>
      <c r="K845" s="12" t="b">
        <v>1</v>
      </c>
      <c r="L845" s="12">
        <v>7</v>
      </c>
      <c r="M845" s="8">
        <v>2021</v>
      </c>
      <c r="N845" s="9">
        <v>0</v>
      </c>
      <c r="O845" s="13">
        <v>41815</v>
      </c>
      <c r="P845" s="13">
        <v>41815</v>
      </c>
    </row>
    <row r="846" spans="1:16">
      <c r="A846" s="10">
        <v>2014</v>
      </c>
      <c r="B846" s="11" t="s">
        <v>483</v>
      </c>
      <c r="C846" s="11" t="s">
        <v>484</v>
      </c>
      <c r="D846" s="12">
        <v>1015042</v>
      </c>
      <c r="E846" s="12">
        <v>2</v>
      </c>
      <c r="F846" s="12"/>
      <c r="G846" s="12">
        <v>761</v>
      </c>
      <c r="H846" s="12" t="s">
        <v>114</v>
      </c>
      <c r="I846" s="12"/>
      <c r="J846" s="12" t="s">
        <v>115</v>
      </c>
      <c r="K846" s="12" t="b">
        <v>1</v>
      </c>
      <c r="L846" s="12">
        <v>4</v>
      </c>
      <c r="M846" s="8">
        <v>2018</v>
      </c>
      <c r="N846" s="9">
        <v>0</v>
      </c>
      <c r="O846" s="13">
        <v>41815</v>
      </c>
      <c r="P846" s="13">
        <v>41815</v>
      </c>
    </row>
    <row r="847" spans="1:16">
      <c r="A847" s="10">
        <v>2014</v>
      </c>
      <c r="B847" s="11" t="s">
        <v>483</v>
      </c>
      <c r="C847" s="11" t="s">
        <v>484</v>
      </c>
      <c r="D847" s="12">
        <v>1015042</v>
      </c>
      <c r="E847" s="12">
        <v>2</v>
      </c>
      <c r="F847" s="12"/>
      <c r="G847" s="12">
        <v>761</v>
      </c>
      <c r="H847" s="12" t="s">
        <v>114</v>
      </c>
      <c r="I847" s="12"/>
      <c r="J847" s="12" t="s">
        <v>115</v>
      </c>
      <c r="K847" s="12" t="b">
        <v>1</v>
      </c>
      <c r="L847" s="12">
        <v>5</v>
      </c>
      <c r="M847" s="8">
        <v>2019</v>
      </c>
      <c r="N847" s="9">
        <v>0</v>
      </c>
      <c r="O847" s="13">
        <v>41815</v>
      </c>
      <c r="P847" s="13">
        <v>41815</v>
      </c>
    </row>
    <row r="848" spans="1:16">
      <c r="A848" s="10">
        <v>2014</v>
      </c>
      <c r="B848" s="11" t="s">
        <v>483</v>
      </c>
      <c r="C848" s="11" t="s">
        <v>484</v>
      </c>
      <c r="D848" s="12">
        <v>1015042</v>
      </c>
      <c r="E848" s="12">
        <v>2</v>
      </c>
      <c r="F848" s="12"/>
      <c r="G848" s="12">
        <v>761</v>
      </c>
      <c r="H848" s="12" t="s">
        <v>114</v>
      </c>
      <c r="I848" s="12"/>
      <c r="J848" s="12" t="s">
        <v>115</v>
      </c>
      <c r="K848" s="12" t="b">
        <v>1</v>
      </c>
      <c r="L848" s="12">
        <v>6</v>
      </c>
      <c r="M848" s="8">
        <v>2020</v>
      </c>
      <c r="N848" s="9">
        <v>0</v>
      </c>
      <c r="O848" s="13">
        <v>41815</v>
      </c>
      <c r="P848" s="13">
        <v>41815</v>
      </c>
    </row>
    <row r="849" spans="1:16">
      <c r="A849" s="10">
        <v>2014</v>
      </c>
      <c r="B849" s="11" t="s">
        <v>483</v>
      </c>
      <c r="C849" s="11" t="s">
        <v>484</v>
      </c>
      <c r="D849" s="12">
        <v>1015042</v>
      </c>
      <c r="E849" s="12">
        <v>2</v>
      </c>
      <c r="F849" s="12"/>
      <c r="G849" s="12">
        <v>761</v>
      </c>
      <c r="H849" s="12" t="s">
        <v>114</v>
      </c>
      <c r="I849" s="12"/>
      <c r="J849" s="12" t="s">
        <v>115</v>
      </c>
      <c r="K849" s="12" t="b">
        <v>1</v>
      </c>
      <c r="L849" s="12">
        <v>3</v>
      </c>
      <c r="M849" s="8">
        <v>2017</v>
      </c>
      <c r="N849" s="9">
        <v>0</v>
      </c>
      <c r="O849" s="13">
        <v>41815</v>
      </c>
      <c r="P849" s="13">
        <v>41815</v>
      </c>
    </row>
    <row r="850" spans="1:16">
      <c r="A850" s="10">
        <v>2014</v>
      </c>
      <c r="B850" s="11" t="s">
        <v>483</v>
      </c>
      <c r="C850" s="11" t="s">
        <v>484</v>
      </c>
      <c r="D850" s="12">
        <v>1015042</v>
      </c>
      <c r="E850" s="12">
        <v>2</v>
      </c>
      <c r="F850" s="12"/>
      <c r="G850" s="12">
        <v>766</v>
      </c>
      <c r="H850" s="12" t="s">
        <v>403</v>
      </c>
      <c r="I850" s="12"/>
      <c r="J850" s="12" t="s">
        <v>400</v>
      </c>
      <c r="K850" s="12" t="b">
        <v>1</v>
      </c>
      <c r="L850" s="12">
        <v>1</v>
      </c>
      <c r="M850" s="8">
        <v>2015</v>
      </c>
      <c r="N850" s="9">
        <v>0</v>
      </c>
      <c r="O850" s="13">
        <v>41815</v>
      </c>
      <c r="P850" s="13">
        <v>41815</v>
      </c>
    </row>
    <row r="851" spans="1:16">
      <c r="A851" s="10">
        <v>2014</v>
      </c>
      <c r="B851" s="11" t="s">
        <v>483</v>
      </c>
      <c r="C851" s="11" t="s">
        <v>484</v>
      </c>
      <c r="D851" s="12">
        <v>1015042</v>
      </c>
      <c r="E851" s="12">
        <v>2</v>
      </c>
      <c r="F851" s="12"/>
      <c r="G851" s="12">
        <v>766</v>
      </c>
      <c r="H851" s="12" t="s">
        <v>403</v>
      </c>
      <c r="I851" s="12"/>
      <c r="J851" s="12" t="s">
        <v>400</v>
      </c>
      <c r="K851" s="12" t="b">
        <v>1</v>
      </c>
      <c r="L851" s="12">
        <v>8</v>
      </c>
      <c r="M851" s="8">
        <v>2022</v>
      </c>
      <c r="N851" s="9">
        <v>0</v>
      </c>
      <c r="O851" s="13">
        <v>41815</v>
      </c>
      <c r="P851" s="13">
        <v>41815</v>
      </c>
    </row>
    <row r="852" spans="1:16">
      <c r="A852" s="10">
        <v>2014</v>
      </c>
      <c r="B852" s="11" t="s">
        <v>483</v>
      </c>
      <c r="C852" s="11" t="s">
        <v>484</v>
      </c>
      <c r="D852" s="12">
        <v>1015042</v>
      </c>
      <c r="E852" s="12">
        <v>2</v>
      </c>
      <c r="F852" s="12"/>
      <c r="G852" s="12">
        <v>766</v>
      </c>
      <c r="H852" s="12" t="s">
        <v>403</v>
      </c>
      <c r="I852" s="12"/>
      <c r="J852" s="12" t="s">
        <v>400</v>
      </c>
      <c r="K852" s="12" t="b">
        <v>1</v>
      </c>
      <c r="L852" s="12">
        <v>7</v>
      </c>
      <c r="M852" s="8">
        <v>2021</v>
      </c>
      <c r="N852" s="9">
        <v>0</v>
      </c>
      <c r="O852" s="13">
        <v>41815</v>
      </c>
      <c r="P852" s="13">
        <v>41815</v>
      </c>
    </row>
    <row r="853" spans="1:16">
      <c r="A853" s="10">
        <v>2014</v>
      </c>
      <c r="B853" s="11" t="s">
        <v>483</v>
      </c>
      <c r="C853" s="11" t="s">
        <v>484</v>
      </c>
      <c r="D853" s="12">
        <v>1015042</v>
      </c>
      <c r="E853" s="12">
        <v>2</v>
      </c>
      <c r="F853" s="12"/>
      <c r="G853" s="12">
        <v>766</v>
      </c>
      <c r="H853" s="12" t="s">
        <v>403</v>
      </c>
      <c r="I853" s="12"/>
      <c r="J853" s="12" t="s">
        <v>400</v>
      </c>
      <c r="K853" s="12" t="b">
        <v>1</v>
      </c>
      <c r="L853" s="12">
        <v>4</v>
      </c>
      <c r="M853" s="8">
        <v>2018</v>
      </c>
      <c r="N853" s="9">
        <v>0</v>
      </c>
      <c r="O853" s="13">
        <v>41815</v>
      </c>
      <c r="P853" s="13">
        <v>41815</v>
      </c>
    </row>
    <row r="854" spans="1:16">
      <c r="A854" s="10">
        <v>2014</v>
      </c>
      <c r="B854" s="11" t="s">
        <v>483</v>
      </c>
      <c r="C854" s="11" t="s">
        <v>484</v>
      </c>
      <c r="D854" s="12">
        <v>1015042</v>
      </c>
      <c r="E854" s="12">
        <v>2</v>
      </c>
      <c r="F854" s="12"/>
      <c r="G854" s="12">
        <v>766</v>
      </c>
      <c r="H854" s="12" t="s">
        <v>403</v>
      </c>
      <c r="I854" s="12"/>
      <c r="J854" s="12" t="s">
        <v>400</v>
      </c>
      <c r="K854" s="12" t="b">
        <v>1</v>
      </c>
      <c r="L854" s="12">
        <v>5</v>
      </c>
      <c r="M854" s="8">
        <v>2019</v>
      </c>
      <c r="N854" s="9">
        <v>0</v>
      </c>
      <c r="O854" s="13">
        <v>41815</v>
      </c>
      <c r="P854" s="13">
        <v>41815</v>
      </c>
    </row>
    <row r="855" spans="1:16">
      <c r="A855" s="10">
        <v>2014</v>
      </c>
      <c r="B855" s="11" t="s">
        <v>483</v>
      </c>
      <c r="C855" s="11" t="s">
        <v>484</v>
      </c>
      <c r="D855" s="12">
        <v>1015042</v>
      </c>
      <c r="E855" s="12">
        <v>2</v>
      </c>
      <c r="F855" s="12"/>
      <c r="G855" s="12">
        <v>766</v>
      </c>
      <c r="H855" s="12" t="s">
        <v>403</v>
      </c>
      <c r="I855" s="12"/>
      <c r="J855" s="12" t="s">
        <v>400</v>
      </c>
      <c r="K855" s="12" t="b">
        <v>1</v>
      </c>
      <c r="L855" s="12">
        <v>6</v>
      </c>
      <c r="M855" s="8">
        <v>2020</v>
      </c>
      <c r="N855" s="9">
        <v>0</v>
      </c>
      <c r="O855" s="13">
        <v>41815</v>
      </c>
      <c r="P855" s="13">
        <v>41815</v>
      </c>
    </row>
    <row r="856" spans="1:16">
      <c r="A856" s="10">
        <v>2014</v>
      </c>
      <c r="B856" s="11" t="s">
        <v>483</v>
      </c>
      <c r="C856" s="11" t="s">
        <v>484</v>
      </c>
      <c r="D856" s="12">
        <v>1015042</v>
      </c>
      <c r="E856" s="12">
        <v>2</v>
      </c>
      <c r="F856" s="12"/>
      <c r="G856" s="12">
        <v>766</v>
      </c>
      <c r="H856" s="12" t="s">
        <v>403</v>
      </c>
      <c r="I856" s="12"/>
      <c r="J856" s="12" t="s">
        <v>400</v>
      </c>
      <c r="K856" s="12" t="b">
        <v>1</v>
      </c>
      <c r="L856" s="12">
        <v>3</v>
      </c>
      <c r="M856" s="8">
        <v>2017</v>
      </c>
      <c r="N856" s="9">
        <v>0</v>
      </c>
      <c r="O856" s="13">
        <v>41815</v>
      </c>
      <c r="P856" s="13">
        <v>41815</v>
      </c>
    </row>
    <row r="857" spans="1:16">
      <c r="A857" s="10">
        <v>2014</v>
      </c>
      <c r="B857" s="11" t="s">
        <v>483</v>
      </c>
      <c r="C857" s="11" t="s">
        <v>484</v>
      </c>
      <c r="D857" s="12">
        <v>1015042</v>
      </c>
      <c r="E857" s="12">
        <v>2</v>
      </c>
      <c r="F857" s="12"/>
      <c r="G857" s="12">
        <v>766</v>
      </c>
      <c r="H857" s="12" t="s">
        <v>403</v>
      </c>
      <c r="I857" s="12"/>
      <c r="J857" s="12" t="s">
        <v>400</v>
      </c>
      <c r="K857" s="12" t="b">
        <v>1</v>
      </c>
      <c r="L857" s="12">
        <v>0</v>
      </c>
      <c r="M857" s="8">
        <v>2014</v>
      </c>
      <c r="N857" s="9">
        <v>0</v>
      </c>
      <c r="O857" s="13">
        <v>41815</v>
      </c>
      <c r="P857" s="13">
        <v>41815</v>
      </c>
    </row>
    <row r="858" spans="1:16">
      <c r="A858" s="10">
        <v>2014</v>
      </c>
      <c r="B858" s="11" t="s">
        <v>483</v>
      </c>
      <c r="C858" s="11" t="s">
        <v>484</v>
      </c>
      <c r="D858" s="12">
        <v>1015042</v>
      </c>
      <c r="E858" s="12">
        <v>2</v>
      </c>
      <c r="F858" s="12"/>
      <c r="G858" s="12">
        <v>766</v>
      </c>
      <c r="H858" s="12" t="s">
        <v>403</v>
      </c>
      <c r="I858" s="12"/>
      <c r="J858" s="12" t="s">
        <v>400</v>
      </c>
      <c r="K858" s="12" t="b">
        <v>1</v>
      </c>
      <c r="L858" s="12">
        <v>2</v>
      </c>
      <c r="M858" s="8">
        <v>2016</v>
      </c>
      <c r="N858" s="9">
        <v>0</v>
      </c>
      <c r="O858" s="13">
        <v>41815</v>
      </c>
      <c r="P858" s="13">
        <v>41815</v>
      </c>
    </row>
    <row r="859" spans="1:16">
      <c r="A859" s="10">
        <v>2014</v>
      </c>
      <c r="B859" s="11" t="s">
        <v>483</v>
      </c>
      <c r="C859" s="11" t="s">
        <v>484</v>
      </c>
      <c r="D859" s="12">
        <v>1015042</v>
      </c>
      <c r="E859" s="12">
        <v>2</v>
      </c>
      <c r="F859" s="12"/>
      <c r="G859" s="12">
        <v>820</v>
      </c>
      <c r="H859" s="12">
        <v>13.3</v>
      </c>
      <c r="I859" s="12"/>
      <c r="J859" s="12" t="s">
        <v>121</v>
      </c>
      <c r="K859" s="12" t="b">
        <v>1</v>
      </c>
      <c r="L859" s="12">
        <v>0</v>
      </c>
      <c r="M859" s="8">
        <v>2014</v>
      </c>
      <c r="N859" s="9">
        <v>0</v>
      </c>
      <c r="O859" s="13">
        <v>41815</v>
      </c>
      <c r="P859" s="13">
        <v>41815</v>
      </c>
    </row>
    <row r="860" spans="1:16">
      <c r="A860" s="10">
        <v>2014</v>
      </c>
      <c r="B860" s="11" t="s">
        <v>483</v>
      </c>
      <c r="C860" s="11" t="s">
        <v>484</v>
      </c>
      <c r="D860" s="12">
        <v>1015042</v>
      </c>
      <c r="E860" s="12">
        <v>2</v>
      </c>
      <c r="F860" s="12"/>
      <c r="G860" s="12">
        <v>820</v>
      </c>
      <c r="H860" s="12">
        <v>13.3</v>
      </c>
      <c r="I860" s="12"/>
      <c r="J860" s="12" t="s">
        <v>121</v>
      </c>
      <c r="K860" s="12" t="b">
        <v>1</v>
      </c>
      <c r="L860" s="12">
        <v>8</v>
      </c>
      <c r="M860" s="8">
        <v>2022</v>
      </c>
      <c r="N860" s="9">
        <v>0</v>
      </c>
      <c r="O860" s="13">
        <v>41815</v>
      </c>
      <c r="P860" s="13">
        <v>41815</v>
      </c>
    </row>
    <row r="861" spans="1:16">
      <c r="A861" s="10">
        <v>2014</v>
      </c>
      <c r="B861" s="11" t="s">
        <v>483</v>
      </c>
      <c r="C861" s="11" t="s">
        <v>484</v>
      </c>
      <c r="D861" s="12">
        <v>1015042</v>
      </c>
      <c r="E861" s="12">
        <v>2</v>
      </c>
      <c r="F861" s="12"/>
      <c r="G861" s="12">
        <v>820</v>
      </c>
      <c r="H861" s="12">
        <v>13.3</v>
      </c>
      <c r="I861" s="12"/>
      <c r="J861" s="12" t="s">
        <v>121</v>
      </c>
      <c r="K861" s="12" t="b">
        <v>1</v>
      </c>
      <c r="L861" s="12">
        <v>1</v>
      </c>
      <c r="M861" s="8">
        <v>2015</v>
      </c>
      <c r="N861" s="9">
        <v>0</v>
      </c>
      <c r="O861" s="13">
        <v>41815</v>
      </c>
      <c r="P861" s="13">
        <v>41815</v>
      </c>
    </row>
    <row r="862" spans="1:16">
      <c r="A862" s="10">
        <v>2014</v>
      </c>
      <c r="B862" s="11" t="s">
        <v>483</v>
      </c>
      <c r="C862" s="11" t="s">
        <v>484</v>
      </c>
      <c r="D862" s="12">
        <v>1015042</v>
      </c>
      <c r="E862" s="12">
        <v>2</v>
      </c>
      <c r="F862" s="12"/>
      <c r="G862" s="12">
        <v>820</v>
      </c>
      <c r="H862" s="12">
        <v>13.3</v>
      </c>
      <c r="I862" s="12"/>
      <c r="J862" s="12" t="s">
        <v>121</v>
      </c>
      <c r="K862" s="12" t="b">
        <v>1</v>
      </c>
      <c r="L862" s="12">
        <v>4</v>
      </c>
      <c r="M862" s="8">
        <v>2018</v>
      </c>
      <c r="N862" s="9">
        <v>0</v>
      </c>
      <c r="O862" s="13">
        <v>41815</v>
      </c>
      <c r="P862" s="13">
        <v>41815</v>
      </c>
    </row>
    <row r="863" spans="1:16">
      <c r="A863" s="10">
        <v>2014</v>
      </c>
      <c r="B863" s="11" t="s">
        <v>483</v>
      </c>
      <c r="C863" s="11" t="s">
        <v>484</v>
      </c>
      <c r="D863" s="12">
        <v>1015042</v>
      </c>
      <c r="E863" s="12">
        <v>2</v>
      </c>
      <c r="F863" s="12"/>
      <c r="G863" s="12">
        <v>820</v>
      </c>
      <c r="H863" s="12">
        <v>13.3</v>
      </c>
      <c r="I863" s="12"/>
      <c r="J863" s="12" t="s">
        <v>121</v>
      </c>
      <c r="K863" s="12" t="b">
        <v>1</v>
      </c>
      <c r="L863" s="12">
        <v>2</v>
      </c>
      <c r="M863" s="8">
        <v>2016</v>
      </c>
      <c r="N863" s="9">
        <v>0</v>
      </c>
      <c r="O863" s="13">
        <v>41815</v>
      </c>
      <c r="P863" s="13">
        <v>41815</v>
      </c>
    </row>
    <row r="864" spans="1:16">
      <c r="A864" s="10">
        <v>2014</v>
      </c>
      <c r="B864" s="11" t="s">
        <v>483</v>
      </c>
      <c r="C864" s="11" t="s">
        <v>484</v>
      </c>
      <c r="D864" s="12">
        <v>1015042</v>
      </c>
      <c r="E864" s="12">
        <v>2</v>
      </c>
      <c r="F864" s="12"/>
      <c r="G864" s="12">
        <v>820</v>
      </c>
      <c r="H864" s="12">
        <v>13.3</v>
      </c>
      <c r="I864" s="12"/>
      <c r="J864" s="12" t="s">
        <v>121</v>
      </c>
      <c r="K864" s="12" t="b">
        <v>1</v>
      </c>
      <c r="L864" s="12">
        <v>3</v>
      </c>
      <c r="M864" s="8">
        <v>2017</v>
      </c>
      <c r="N864" s="9">
        <v>0</v>
      </c>
      <c r="O864" s="13">
        <v>41815</v>
      </c>
      <c r="P864" s="13">
        <v>41815</v>
      </c>
    </row>
    <row r="865" spans="1:16">
      <c r="A865" s="10">
        <v>2014</v>
      </c>
      <c r="B865" s="11" t="s">
        <v>483</v>
      </c>
      <c r="C865" s="11" t="s">
        <v>484</v>
      </c>
      <c r="D865" s="12">
        <v>1015042</v>
      </c>
      <c r="E865" s="12">
        <v>2</v>
      </c>
      <c r="F865" s="12"/>
      <c r="G865" s="12">
        <v>820</v>
      </c>
      <c r="H865" s="12">
        <v>13.3</v>
      </c>
      <c r="I865" s="12"/>
      <c r="J865" s="12" t="s">
        <v>121</v>
      </c>
      <c r="K865" s="12" t="b">
        <v>1</v>
      </c>
      <c r="L865" s="12">
        <v>6</v>
      </c>
      <c r="M865" s="8">
        <v>2020</v>
      </c>
      <c r="N865" s="9">
        <v>0</v>
      </c>
      <c r="O865" s="13">
        <v>41815</v>
      </c>
      <c r="P865" s="13">
        <v>41815</v>
      </c>
    </row>
    <row r="866" spans="1:16">
      <c r="A866" s="10">
        <v>2014</v>
      </c>
      <c r="B866" s="11" t="s">
        <v>483</v>
      </c>
      <c r="C866" s="11" t="s">
        <v>484</v>
      </c>
      <c r="D866" s="12">
        <v>1015042</v>
      </c>
      <c r="E866" s="12">
        <v>2</v>
      </c>
      <c r="F866" s="12"/>
      <c r="G866" s="12">
        <v>820</v>
      </c>
      <c r="H866" s="12">
        <v>13.3</v>
      </c>
      <c r="I866" s="12"/>
      <c r="J866" s="12" t="s">
        <v>121</v>
      </c>
      <c r="K866" s="12" t="b">
        <v>1</v>
      </c>
      <c r="L866" s="12">
        <v>7</v>
      </c>
      <c r="M866" s="8">
        <v>2021</v>
      </c>
      <c r="N866" s="9">
        <v>0</v>
      </c>
      <c r="O866" s="13">
        <v>41815</v>
      </c>
      <c r="P866" s="13">
        <v>41815</v>
      </c>
    </row>
    <row r="867" spans="1:16">
      <c r="A867" s="10">
        <v>2014</v>
      </c>
      <c r="B867" s="11" t="s">
        <v>483</v>
      </c>
      <c r="C867" s="11" t="s">
        <v>484</v>
      </c>
      <c r="D867" s="12">
        <v>1015042</v>
      </c>
      <c r="E867" s="12">
        <v>2</v>
      </c>
      <c r="F867" s="12"/>
      <c r="G867" s="12">
        <v>820</v>
      </c>
      <c r="H867" s="12">
        <v>13.3</v>
      </c>
      <c r="I867" s="12"/>
      <c r="J867" s="12" t="s">
        <v>121</v>
      </c>
      <c r="K867" s="12" t="b">
        <v>1</v>
      </c>
      <c r="L867" s="12">
        <v>5</v>
      </c>
      <c r="M867" s="8">
        <v>2019</v>
      </c>
      <c r="N867" s="9">
        <v>0</v>
      </c>
      <c r="O867" s="13">
        <v>41815</v>
      </c>
      <c r="P867" s="13">
        <v>41815</v>
      </c>
    </row>
    <row r="868" spans="1:16">
      <c r="A868" s="10">
        <v>2014</v>
      </c>
      <c r="B868" s="11" t="s">
        <v>483</v>
      </c>
      <c r="C868" s="11" t="s">
        <v>484</v>
      </c>
      <c r="D868" s="12">
        <v>1015042</v>
      </c>
      <c r="E868" s="12">
        <v>2</v>
      </c>
      <c r="F868" s="12"/>
      <c r="G868" s="12">
        <v>960</v>
      </c>
      <c r="H868" s="12">
        <v>15.1</v>
      </c>
      <c r="I868" s="12"/>
      <c r="J868" s="12" t="s">
        <v>413</v>
      </c>
      <c r="K868" s="12" t="b">
        <v>1</v>
      </c>
      <c r="L868" s="12">
        <v>5</v>
      </c>
      <c r="M868" s="8">
        <v>2019</v>
      </c>
      <c r="N868" s="9">
        <v>0</v>
      </c>
      <c r="O868" s="13">
        <v>41815</v>
      </c>
      <c r="P868" s="13">
        <v>41815</v>
      </c>
    </row>
    <row r="869" spans="1:16">
      <c r="A869" s="10">
        <v>2014</v>
      </c>
      <c r="B869" s="11" t="s">
        <v>483</v>
      </c>
      <c r="C869" s="11" t="s">
        <v>484</v>
      </c>
      <c r="D869" s="12">
        <v>1015042</v>
      </c>
      <c r="E869" s="12">
        <v>2</v>
      </c>
      <c r="F869" s="12"/>
      <c r="G869" s="12">
        <v>960</v>
      </c>
      <c r="H869" s="12">
        <v>15.1</v>
      </c>
      <c r="I869" s="12"/>
      <c r="J869" s="12" t="s">
        <v>413</v>
      </c>
      <c r="K869" s="12" t="b">
        <v>1</v>
      </c>
      <c r="L869" s="12">
        <v>7</v>
      </c>
      <c r="M869" s="8">
        <v>2021</v>
      </c>
      <c r="N869" s="9">
        <v>0</v>
      </c>
      <c r="O869" s="13">
        <v>41815</v>
      </c>
      <c r="P869" s="13">
        <v>41815</v>
      </c>
    </row>
    <row r="870" spans="1:16">
      <c r="A870" s="10">
        <v>2014</v>
      </c>
      <c r="B870" s="11" t="s">
        <v>483</v>
      </c>
      <c r="C870" s="11" t="s">
        <v>484</v>
      </c>
      <c r="D870" s="12">
        <v>1015042</v>
      </c>
      <c r="E870" s="12">
        <v>2</v>
      </c>
      <c r="F870" s="12"/>
      <c r="G870" s="12">
        <v>960</v>
      </c>
      <c r="H870" s="12">
        <v>15.1</v>
      </c>
      <c r="I870" s="12"/>
      <c r="J870" s="12" t="s">
        <v>413</v>
      </c>
      <c r="K870" s="12" t="b">
        <v>1</v>
      </c>
      <c r="L870" s="12">
        <v>0</v>
      </c>
      <c r="M870" s="8">
        <v>2014</v>
      </c>
      <c r="N870" s="9">
        <v>0</v>
      </c>
      <c r="O870" s="13">
        <v>41815</v>
      </c>
      <c r="P870" s="13">
        <v>41815</v>
      </c>
    </row>
    <row r="871" spans="1:16">
      <c r="A871" s="10">
        <v>2014</v>
      </c>
      <c r="B871" s="11" t="s">
        <v>483</v>
      </c>
      <c r="C871" s="11" t="s">
        <v>484</v>
      </c>
      <c r="D871" s="12">
        <v>1015042</v>
      </c>
      <c r="E871" s="12">
        <v>2</v>
      </c>
      <c r="F871" s="12"/>
      <c r="G871" s="12">
        <v>960</v>
      </c>
      <c r="H871" s="12">
        <v>15.1</v>
      </c>
      <c r="I871" s="12"/>
      <c r="J871" s="12" t="s">
        <v>413</v>
      </c>
      <c r="K871" s="12" t="b">
        <v>1</v>
      </c>
      <c r="L871" s="12">
        <v>2</v>
      </c>
      <c r="M871" s="8">
        <v>2016</v>
      </c>
      <c r="N871" s="9">
        <v>0</v>
      </c>
      <c r="O871" s="13">
        <v>41815</v>
      </c>
      <c r="P871" s="13">
        <v>41815</v>
      </c>
    </row>
    <row r="872" spans="1:16">
      <c r="A872" s="10">
        <v>2014</v>
      </c>
      <c r="B872" s="11" t="s">
        <v>483</v>
      </c>
      <c r="C872" s="11" t="s">
        <v>484</v>
      </c>
      <c r="D872" s="12">
        <v>1015042</v>
      </c>
      <c r="E872" s="12">
        <v>2</v>
      </c>
      <c r="F872" s="12"/>
      <c r="G872" s="12">
        <v>960</v>
      </c>
      <c r="H872" s="12">
        <v>15.1</v>
      </c>
      <c r="I872" s="12"/>
      <c r="J872" s="12" t="s">
        <v>413</v>
      </c>
      <c r="K872" s="12" t="b">
        <v>1</v>
      </c>
      <c r="L872" s="12">
        <v>4</v>
      </c>
      <c r="M872" s="8">
        <v>2018</v>
      </c>
      <c r="N872" s="9">
        <v>0</v>
      </c>
      <c r="O872" s="13">
        <v>41815</v>
      </c>
      <c r="P872" s="13">
        <v>41815</v>
      </c>
    </row>
    <row r="873" spans="1:16">
      <c r="A873" s="10">
        <v>2014</v>
      </c>
      <c r="B873" s="11" t="s">
        <v>483</v>
      </c>
      <c r="C873" s="11" t="s">
        <v>484</v>
      </c>
      <c r="D873" s="12">
        <v>1015042</v>
      </c>
      <c r="E873" s="12">
        <v>2</v>
      </c>
      <c r="F873" s="12"/>
      <c r="G873" s="12">
        <v>960</v>
      </c>
      <c r="H873" s="12">
        <v>15.1</v>
      </c>
      <c r="I873" s="12"/>
      <c r="J873" s="12" t="s">
        <v>413</v>
      </c>
      <c r="K873" s="12" t="b">
        <v>1</v>
      </c>
      <c r="L873" s="12">
        <v>8</v>
      </c>
      <c r="M873" s="8">
        <v>2022</v>
      </c>
      <c r="N873" s="9">
        <v>0</v>
      </c>
      <c r="O873" s="13">
        <v>41815</v>
      </c>
      <c r="P873" s="13">
        <v>41815</v>
      </c>
    </row>
    <row r="874" spans="1:16">
      <c r="A874" s="10">
        <v>2014</v>
      </c>
      <c r="B874" s="11" t="s">
        <v>483</v>
      </c>
      <c r="C874" s="11" t="s">
        <v>484</v>
      </c>
      <c r="D874" s="12">
        <v>1015042</v>
      </c>
      <c r="E874" s="12">
        <v>2</v>
      </c>
      <c r="F874" s="12"/>
      <c r="G874" s="12">
        <v>960</v>
      </c>
      <c r="H874" s="12">
        <v>15.1</v>
      </c>
      <c r="I874" s="12"/>
      <c r="J874" s="12" t="s">
        <v>413</v>
      </c>
      <c r="K874" s="12" t="b">
        <v>1</v>
      </c>
      <c r="L874" s="12">
        <v>3</v>
      </c>
      <c r="M874" s="8">
        <v>2017</v>
      </c>
      <c r="N874" s="9">
        <v>0</v>
      </c>
      <c r="O874" s="13">
        <v>41815</v>
      </c>
      <c r="P874" s="13">
        <v>41815</v>
      </c>
    </row>
    <row r="875" spans="1:16">
      <c r="A875" s="10">
        <v>2014</v>
      </c>
      <c r="B875" s="11" t="s">
        <v>483</v>
      </c>
      <c r="C875" s="11" t="s">
        <v>484</v>
      </c>
      <c r="D875" s="12">
        <v>1015042</v>
      </c>
      <c r="E875" s="12">
        <v>2</v>
      </c>
      <c r="F875" s="12"/>
      <c r="G875" s="12">
        <v>960</v>
      </c>
      <c r="H875" s="12">
        <v>15.1</v>
      </c>
      <c r="I875" s="12"/>
      <c r="J875" s="12" t="s">
        <v>413</v>
      </c>
      <c r="K875" s="12" t="b">
        <v>1</v>
      </c>
      <c r="L875" s="12">
        <v>6</v>
      </c>
      <c r="M875" s="8">
        <v>2020</v>
      </c>
      <c r="N875" s="9">
        <v>0</v>
      </c>
      <c r="O875" s="13">
        <v>41815</v>
      </c>
      <c r="P875" s="13">
        <v>41815</v>
      </c>
    </row>
    <row r="876" spans="1:16">
      <c r="A876" s="10">
        <v>2014</v>
      </c>
      <c r="B876" s="11" t="s">
        <v>483</v>
      </c>
      <c r="C876" s="11" t="s">
        <v>484</v>
      </c>
      <c r="D876" s="12">
        <v>1015042</v>
      </c>
      <c r="E876" s="12">
        <v>2</v>
      </c>
      <c r="F876" s="12"/>
      <c r="G876" s="12">
        <v>960</v>
      </c>
      <c r="H876" s="12">
        <v>15.1</v>
      </c>
      <c r="I876" s="12"/>
      <c r="J876" s="12" t="s">
        <v>413</v>
      </c>
      <c r="K876" s="12" t="b">
        <v>1</v>
      </c>
      <c r="L876" s="12">
        <v>1</v>
      </c>
      <c r="M876" s="8">
        <v>2015</v>
      </c>
      <c r="N876" s="9">
        <v>0</v>
      </c>
      <c r="O876" s="13">
        <v>41815</v>
      </c>
      <c r="P876" s="13">
        <v>41815</v>
      </c>
    </row>
    <row r="877" spans="1:16">
      <c r="A877" s="10">
        <v>2014</v>
      </c>
      <c r="B877" s="11" t="s">
        <v>483</v>
      </c>
      <c r="C877" s="11" t="s">
        <v>484</v>
      </c>
      <c r="D877" s="12">
        <v>1015042</v>
      </c>
      <c r="E877" s="12">
        <v>2</v>
      </c>
      <c r="F877" s="12"/>
      <c r="G877" s="12">
        <v>40</v>
      </c>
      <c r="H877" s="12" t="s">
        <v>43</v>
      </c>
      <c r="I877" s="12"/>
      <c r="J877" s="12" t="s">
        <v>44</v>
      </c>
      <c r="K877" s="12" t="b">
        <v>1</v>
      </c>
      <c r="L877" s="12">
        <v>8</v>
      </c>
      <c r="M877" s="8">
        <v>2022</v>
      </c>
      <c r="N877" s="9">
        <v>0</v>
      </c>
      <c r="O877" s="13">
        <v>41815</v>
      </c>
      <c r="P877" s="13">
        <v>41815</v>
      </c>
    </row>
    <row r="878" spans="1:16">
      <c r="A878" s="10">
        <v>2014</v>
      </c>
      <c r="B878" s="11" t="s">
        <v>483</v>
      </c>
      <c r="C878" s="11" t="s">
        <v>484</v>
      </c>
      <c r="D878" s="12">
        <v>1015042</v>
      </c>
      <c r="E878" s="12">
        <v>2</v>
      </c>
      <c r="F878" s="12"/>
      <c r="G878" s="12">
        <v>40</v>
      </c>
      <c r="H878" s="12" t="s">
        <v>43</v>
      </c>
      <c r="I878" s="12"/>
      <c r="J878" s="12" t="s">
        <v>44</v>
      </c>
      <c r="K878" s="12" t="b">
        <v>1</v>
      </c>
      <c r="L878" s="12">
        <v>2</v>
      </c>
      <c r="M878" s="8">
        <v>2016</v>
      </c>
      <c r="N878" s="9">
        <v>6615</v>
      </c>
      <c r="O878" s="13">
        <v>41815</v>
      </c>
      <c r="P878" s="13">
        <v>41815</v>
      </c>
    </row>
    <row r="879" spans="1:16">
      <c r="A879" s="10">
        <v>2014</v>
      </c>
      <c r="B879" s="11" t="s">
        <v>483</v>
      </c>
      <c r="C879" s="11" t="s">
        <v>484</v>
      </c>
      <c r="D879" s="12">
        <v>1015042</v>
      </c>
      <c r="E879" s="12">
        <v>2</v>
      </c>
      <c r="F879" s="12"/>
      <c r="G879" s="12">
        <v>40</v>
      </c>
      <c r="H879" s="12" t="s">
        <v>43</v>
      </c>
      <c r="I879" s="12"/>
      <c r="J879" s="12" t="s">
        <v>44</v>
      </c>
      <c r="K879" s="12" t="b">
        <v>1</v>
      </c>
      <c r="L879" s="12">
        <v>0</v>
      </c>
      <c r="M879" s="8">
        <v>2014</v>
      </c>
      <c r="N879" s="9">
        <v>6000</v>
      </c>
      <c r="O879" s="13">
        <v>41815</v>
      </c>
      <c r="P879" s="13">
        <v>41815</v>
      </c>
    </row>
    <row r="880" spans="1:16">
      <c r="A880" s="10">
        <v>2014</v>
      </c>
      <c r="B880" s="11" t="s">
        <v>483</v>
      </c>
      <c r="C880" s="11" t="s">
        <v>484</v>
      </c>
      <c r="D880" s="12">
        <v>1015042</v>
      </c>
      <c r="E880" s="12">
        <v>2</v>
      </c>
      <c r="F880" s="12"/>
      <c r="G880" s="12">
        <v>40</v>
      </c>
      <c r="H880" s="12" t="s">
        <v>43</v>
      </c>
      <c r="I880" s="12"/>
      <c r="J880" s="12" t="s">
        <v>44</v>
      </c>
      <c r="K880" s="12" t="b">
        <v>1</v>
      </c>
      <c r="L880" s="12">
        <v>5</v>
      </c>
      <c r="M880" s="8">
        <v>2019</v>
      </c>
      <c r="N880" s="9">
        <v>0</v>
      </c>
      <c r="O880" s="13">
        <v>41815</v>
      </c>
      <c r="P880" s="13">
        <v>41815</v>
      </c>
    </row>
    <row r="881" spans="1:16">
      <c r="A881" s="10">
        <v>2014</v>
      </c>
      <c r="B881" s="11" t="s">
        <v>483</v>
      </c>
      <c r="C881" s="11" t="s">
        <v>484</v>
      </c>
      <c r="D881" s="12">
        <v>1015042</v>
      </c>
      <c r="E881" s="12">
        <v>2</v>
      </c>
      <c r="F881" s="12"/>
      <c r="G881" s="12">
        <v>40</v>
      </c>
      <c r="H881" s="12" t="s">
        <v>43</v>
      </c>
      <c r="I881" s="12"/>
      <c r="J881" s="12" t="s">
        <v>44</v>
      </c>
      <c r="K881" s="12" t="b">
        <v>1</v>
      </c>
      <c r="L881" s="12">
        <v>1</v>
      </c>
      <c r="M881" s="8">
        <v>2015</v>
      </c>
      <c r="N881" s="9">
        <v>6300</v>
      </c>
      <c r="O881" s="13">
        <v>41815</v>
      </c>
      <c r="P881" s="13">
        <v>41815</v>
      </c>
    </row>
    <row r="882" spans="1:16">
      <c r="A882" s="10">
        <v>2014</v>
      </c>
      <c r="B882" s="11" t="s">
        <v>483</v>
      </c>
      <c r="C882" s="11" t="s">
        <v>484</v>
      </c>
      <c r="D882" s="12">
        <v>1015042</v>
      </c>
      <c r="E882" s="12">
        <v>2</v>
      </c>
      <c r="F882" s="12"/>
      <c r="G882" s="12">
        <v>40</v>
      </c>
      <c r="H882" s="12" t="s">
        <v>43</v>
      </c>
      <c r="I882" s="12"/>
      <c r="J882" s="12" t="s">
        <v>44</v>
      </c>
      <c r="K882" s="12" t="b">
        <v>1</v>
      </c>
      <c r="L882" s="12">
        <v>6</v>
      </c>
      <c r="M882" s="8">
        <v>2020</v>
      </c>
      <c r="N882" s="9">
        <v>0</v>
      </c>
      <c r="O882" s="13">
        <v>41815</v>
      </c>
      <c r="P882" s="13">
        <v>41815</v>
      </c>
    </row>
    <row r="883" spans="1:16">
      <c r="A883" s="10">
        <v>2014</v>
      </c>
      <c r="B883" s="11" t="s">
        <v>483</v>
      </c>
      <c r="C883" s="11" t="s">
        <v>484</v>
      </c>
      <c r="D883" s="12">
        <v>1015042</v>
      </c>
      <c r="E883" s="12">
        <v>2</v>
      </c>
      <c r="F883" s="12"/>
      <c r="G883" s="12">
        <v>40</v>
      </c>
      <c r="H883" s="12" t="s">
        <v>43</v>
      </c>
      <c r="I883" s="12"/>
      <c r="J883" s="12" t="s">
        <v>44</v>
      </c>
      <c r="K883" s="12" t="b">
        <v>1</v>
      </c>
      <c r="L883" s="12">
        <v>3</v>
      </c>
      <c r="M883" s="8">
        <v>2017</v>
      </c>
      <c r="N883" s="9">
        <v>6945</v>
      </c>
      <c r="O883" s="13">
        <v>41815</v>
      </c>
      <c r="P883" s="13">
        <v>41815</v>
      </c>
    </row>
    <row r="884" spans="1:16">
      <c r="A884" s="10">
        <v>2014</v>
      </c>
      <c r="B884" s="11" t="s">
        <v>483</v>
      </c>
      <c r="C884" s="11" t="s">
        <v>484</v>
      </c>
      <c r="D884" s="12">
        <v>1015042</v>
      </c>
      <c r="E884" s="12">
        <v>2</v>
      </c>
      <c r="F884" s="12"/>
      <c r="G884" s="12">
        <v>40</v>
      </c>
      <c r="H884" s="12" t="s">
        <v>43</v>
      </c>
      <c r="I884" s="12"/>
      <c r="J884" s="12" t="s">
        <v>44</v>
      </c>
      <c r="K884" s="12" t="b">
        <v>1</v>
      </c>
      <c r="L884" s="12">
        <v>4</v>
      </c>
      <c r="M884" s="8">
        <v>2018</v>
      </c>
      <c r="N884" s="9">
        <v>0</v>
      </c>
      <c r="O884" s="13">
        <v>41815</v>
      </c>
      <c r="P884" s="13">
        <v>41815</v>
      </c>
    </row>
    <row r="885" spans="1:16">
      <c r="A885" s="10">
        <v>2014</v>
      </c>
      <c r="B885" s="11" t="s">
        <v>483</v>
      </c>
      <c r="C885" s="11" t="s">
        <v>484</v>
      </c>
      <c r="D885" s="12">
        <v>1015042</v>
      </c>
      <c r="E885" s="12">
        <v>2</v>
      </c>
      <c r="F885" s="12"/>
      <c r="G885" s="12">
        <v>40</v>
      </c>
      <c r="H885" s="12" t="s">
        <v>43</v>
      </c>
      <c r="I885" s="12"/>
      <c r="J885" s="12" t="s">
        <v>44</v>
      </c>
      <c r="K885" s="12" t="b">
        <v>1</v>
      </c>
      <c r="L885" s="12">
        <v>7</v>
      </c>
      <c r="M885" s="8">
        <v>2021</v>
      </c>
      <c r="N885" s="9">
        <v>0</v>
      </c>
      <c r="O885" s="13">
        <v>41815</v>
      </c>
      <c r="P885" s="13">
        <v>41815</v>
      </c>
    </row>
    <row r="886" spans="1:16">
      <c r="A886" s="10">
        <v>2014</v>
      </c>
      <c r="B886" s="11" t="s">
        <v>483</v>
      </c>
      <c r="C886" s="11" t="s">
        <v>484</v>
      </c>
      <c r="D886" s="12">
        <v>1015042</v>
      </c>
      <c r="E886" s="12">
        <v>2</v>
      </c>
      <c r="F886" s="12"/>
      <c r="G886" s="12">
        <v>80</v>
      </c>
      <c r="H886" s="12" t="s">
        <v>51</v>
      </c>
      <c r="I886" s="12"/>
      <c r="J886" s="12" t="s">
        <v>52</v>
      </c>
      <c r="K886" s="12" t="b">
        <v>1</v>
      </c>
      <c r="L886" s="12">
        <v>5</v>
      </c>
      <c r="M886" s="8">
        <v>2019</v>
      </c>
      <c r="N886" s="9">
        <v>0</v>
      </c>
      <c r="O886" s="13">
        <v>41815</v>
      </c>
      <c r="P886" s="13">
        <v>41815</v>
      </c>
    </row>
    <row r="887" spans="1:16">
      <c r="A887" s="10">
        <v>2014</v>
      </c>
      <c r="B887" s="11" t="s">
        <v>483</v>
      </c>
      <c r="C887" s="11" t="s">
        <v>484</v>
      </c>
      <c r="D887" s="12">
        <v>1015042</v>
      </c>
      <c r="E887" s="12">
        <v>2</v>
      </c>
      <c r="F887" s="12"/>
      <c r="G887" s="12">
        <v>80</v>
      </c>
      <c r="H887" s="12" t="s">
        <v>51</v>
      </c>
      <c r="I887" s="12"/>
      <c r="J887" s="12" t="s">
        <v>52</v>
      </c>
      <c r="K887" s="12" t="b">
        <v>1</v>
      </c>
      <c r="L887" s="12">
        <v>6</v>
      </c>
      <c r="M887" s="8">
        <v>2020</v>
      </c>
      <c r="N887" s="9">
        <v>0</v>
      </c>
      <c r="O887" s="13">
        <v>41815</v>
      </c>
      <c r="P887" s="13">
        <v>41815</v>
      </c>
    </row>
    <row r="888" spans="1:16">
      <c r="A888" s="10">
        <v>2014</v>
      </c>
      <c r="B888" s="11" t="s">
        <v>483</v>
      </c>
      <c r="C888" s="11" t="s">
        <v>484</v>
      </c>
      <c r="D888" s="12">
        <v>1015042</v>
      </c>
      <c r="E888" s="12">
        <v>2</v>
      </c>
      <c r="F888" s="12"/>
      <c r="G888" s="12">
        <v>80</v>
      </c>
      <c r="H888" s="12" t="s">
        <v>51</v>
      </c>
      <c r="I888" s="12"/>
      <c r="J888" s="12" t="s">
        <v>52</v>
      </c>
      <c r="K888" s="12" t="b">
        <v>1</v>
      </c>
      <c r="L888" s="12">
        <v>2</v>
      </c>
      <c r="M888" s="8">
        <v>2016</v>
      </c>
      <c r="N888" s="9">
        <v>1350000</v>
      </c>
      <c r="O888" s="13">
        <v>41815</v>
      </c>
      <c r="P888" s="13">
        <v>41815</v>
      </c>
    </row>
    <row r="889" spans="1:16">
      <c r="A889" s="10">
        <v>2014</v>
      </c>
      <c r="B889" s="11" t="s">
        <v>483</v>
      </c>
      <c r="C889" s="11" t="s">
        <v>484</v>
      </c>
      <c r="D889" s="12">
        <v>1015042</v>
      </c>
      <c r="E889" s="12">
        <v>2</v>
      </c>
      <c r="F889" s="12"/>
      <c r="G889" s="12">
        <v>80</v>
      </c>
      <c r="H889" s="12" t="s">
        <v>51</v>
      </c>
      <c r="I889" s="12"/>
      <c r="J889" s="12" t="s">
        <v>52</v>
      </c>
      <c r="K889" s="12" t="b">
        <v>1</v>
      </c>
      <c r="L889" s="12">
        <v>1</v>
      </c>
      <c r="M889" s="8">
        <v>2015</v>
      </c>
      <c r="N889" s="9">
        <v>1300000</v>
      </c>
      <c r="O889" s="13">
        <v>41815</v>
      </c>
      <c r="P889" s="13">
        <v>41815</v>
      </c>
    </row>
    <row r="890" spans="1:16">
      <c r="A890" s="10">
        <v>2014</v>
      </c>
      <c r="B890" s="11" t="s">
        <v>483</v>
      </c>
      <c r="C890" s="11" t="s">
        <v>484</v>
      </c>
      <c r="D890" s="12">
        <v>1015042</v>
      </c>
      <c r="E890" s="12">
        <v>2</v>
      </c>
      <c r="F890" s="12"/>
      <c r="G890" s="12">
        <v>80</v>
      </c>
      <c r="H890" s="12" t="s">
        <v>51</v>
      </c>
      <c r="I890" s="12"/>
      <c r="J890" s="12" t="s">
        <v>52</v>
      </c>
      <c r="K890" s="12" t="b">
        <v>1</v>
      </c>
      <c r="L890" s="12">
        <v>0</v>
      </c>
      <c r="M890" s="8">
        <v>2014</v>
      </c>
      <c r="N890" s="9">
        <v>1463349.84</v>
      </c>
      <c r="O890" s="13">
        <v>41815</v>
      </c>
      <c r="P890" s="13">
        <v>41815</v>
      </c>
    </row>
    <row r="891" spans="1:16">
      <c r="A891" s="10">
        <v>2014</v>
      </c>
      <c r="B891" s="11" t="s">
        <v>483</v>
      </c>
      <c r="C891" s="11" t="s">
        <v>484</v>
      </c>
      <c r="D891" s="12">
        <v>1015042</v>
      </c>
      <c r="E891" s="12">
        <v>2</v>
      </c>
      <c r="F891" s="12"/>
      <c r="G891" s="12">
        <v>80</v>
      </c>
      <c r="H891" s="12" t="s">
        <v>51</v>
      </c>
      <c r="I891" s="12"/>
      <c r="J891" s="12" t="s">
        <v>52</v>
      </c>
      <c r="K891" s="12" t="b">
        <v>1</v>
      </c>
      <c r="L891" s="12">
        <v>7</v>
      </c>
      <c r="M891" s="8">
        <v>2021</v>
      </c>
      <c r="N891" s="9">
        <v>0</v>
      </c>
      <c r="O891" s="13">
        <v>41815</v>
      </c>
      <c r="P891" s="13">
        <v>41815</v>
      </c>
    </row>
    <row r="892" spans="1:16">
      <c r="A892" s="10">
        <v>2014</v>
      </c>
      <c r="B892" s="11" t="s">
        <v>483</v>
      </c>
      <c r="C892" s="11" t="s">
        <v>484</v>
      </c>
      <c r="D892" s="12">
        <v>1015042</v>
      </c>
      <c r="E892" s="12">
        <v>2</v>
      </c>
      <c r="F892" s="12"/>
      <c r="G892" s="12">
        <v>80</v>
      </c>
      <c r="H892" s="12" t="s">
        <v>51</v>
      </c>
      <c r="I892" s="12"/>
      <c r="J892" s="12" t="s">
        <v>52</v>
      </c>
      <c r="K892" s="12" t="b">
        <v>1</v>
      </c>
      <c r="L892" s="12">
        <v>4</v>
      </c>
      <c r="M892" s="8">
        <v>2018</v>
      </c>
      <c r="N892" s="9">
        <v>0</v>
      </c>
      <c r="O892" s="13">
        <v>41815</v>
      </c>
      <c r="P892" s="13">
        <v>41815</v>
      </c>
    </row>
    <row r="893" spans="1:16">
      <c r="A893" s="10">
        <v>2014</v>
      </c>
      <c r="B893" s="11" t="s">
        <v>483</v>
      </c>
      <c r="C893" s="11" t="s">
        <v>484</v>
      </c>
      <c r="D893" s="12">
        <v>1015042</v>
      </c>
      <c r="E893" s="12">
        <v>2</v>
      </c>
      <c r="F893" s="12"/>
      <c r="G893" s="12">
        <v>80</v>
      </c>
      <c r="H893" s="12" t="s">
        <v>51</v>
      </c>
      <c r="I893" s="12"/>
      <c r="J893" s="12" t="s">
        <v>52</v>
      </c>
      <c r="K893" s="12" t="b">
        <v>1</v>
      </c>
      <c r="L893" s="12">
        <v>3</v>
      </c>
      <c r="M893" s="8">
        <v>2017</v>
      </c>
      <c r="N893" s="9">
        <v>1400000</v>
      </c>
      <c r="O893" s="13">
        <v>41815</v>
      </c>
      <c r="P893" s="13">
        <v>41815</v>
      </c>
    </row>
    <row r="894" spans="1:16">
      <c r="A894" s="10">
        <v>2014</v>
      </c>
      <c r="B894" s="11" t="s">
        <v>483</v>
      </c>
      <c r="C894" s="11" t="s">
        <v>484</v>
      </c>
      <c r="D894" s="12">
        <v>1015042</v>
      </c>
      <c r="E894" s="12">
        <v>2</v>
      </c>
      <c r="F894" s="12"/>
      <c r="G894" s="12">
        <v>80</v>
      </c>
      <c r="H894" s="12" t="s">
        <v>51</v>
      </c>
      <c r="I894" s="12"/>
      <c r="J894" s="12" t="s">
        <v>52</v>
      </c>
      <c r="K894" s="12" t="b">
        <v>1</v>
      </c>
      <c r="L894" s="12">
        <v>8</v>
      </c>
      <c r="M894" s="8">
        <v>2022</v>
      </c>
      <c r="N894" s="9">
        <v>0</v>
      </c>
      <c r="O894" s="13">
        <v>41815</v>
      </c>
      <c r="P894" s="13">
        <v>41815</v>
      </c>
    </row>
    <row r="895" spans="1:16">
      <c r="A895" s="10">
        <v>2014</v>
      </c>
      <c r="B895" s="11" t="s">
        <v>483</v>
      </c>
      <c r="C895" s="11" t="s">
        <v>484</v>
      </c>
      <c r="D895" s="12">
        <v>1015042</v>
      </c>
      <c r="E895" s="12">
        <v>2</v>
      </c>
      <c r="F895" s="12"/>
      <c r="G895" s="12">
        <v>760</v>
      </c>
      <c r="H895" s="12">
        <v>12.4</v>
      </c>
      <c r="I895" s="12"/>
      <c r="J895" s="12" t="s">
        <v>113</v>
      </c>
      <c r="K895" s="12" t="b">
        <v>1</v>
      </c>
      <c r="L895" s="12">
        <v>6</v>
      </c>
      <c r="M895" s="8">
        <v>2020</v>
      </c>
      <c r="N895" s="9">
        <v>0</v>
      </c>
      <c r="O895" s="13">
        <v>41815</v>
      </c>
      <c r="P895" s="13">
        <v>41815</v>
      </c>
    </row>
    <row r="896" spans="1:16">
      <c r="A896" s="10">
        <v>2014</v>
      </c>
      <c r="B896" s="11" t="s">
        <v>483</v>
      </c>
      <c r="C896" s="11" t="s">
        <v>484</v>
      </c>
      <c r="D896" s="12">
        <v>1015042</v>
      </c>
      <c r="E896" s="12">
        <v>2</v>
      </c>
      <c r="F896" s="12"/>
      <c r="G896" s="12">
        <v>760</v>
      </c>
      <c r="H896" s="12">
        <v>12.4</v>
      </c>
      <c r="I896" s="12"/>
      <c r="J896" s="12" t="s">
        <v>113</v>
      </c>
      <c r="K896" s="12" t="b">
        <v>1</v>
      </c>
      <c r="L896" s="12">
        <v>7</v>
      </c>
      <c r="M896" s="8">
        <v>2021</v>
      </c>
      <c r="N896" s="9">
        <v>0</v>
      </c>
      <c r="O896" s="13">
        <v>41815</v>
      </c>
      <c r="P896" s="13">
        <v>41815</v>
      </c>
    </row>
    <row r="897" spans="1:16">
      <c r="A897" s="10">
        <v>2014</v>
      </c>
      <c r="B897" s="11" t="s">
        <v>483</v>
      </c>
      <c r="C897" s="11" t="s">
        <v>484</v>
      </c>
      <c r="D897" s="12">
        <v>1015042</v>
      </c>
      <c r="E897" s="12">
        <v>2</v>
      </c>
      <c r="F897" s="12"/>
      <c r="G897" s="12">
        <v>760</v>
      </c>
      <c r="H897" s="12">
        <v>12.4</v>
      </c>
      <c r="I897" s="12"/>
      <c r="J897" s="12" t="s">
        <v>113</v>
      </c>
      <c r="K897" s="12" t="b">
        <v>1</v>
      </c>
      <c r="L897" s="12">
        <v>5</v>
      </c>
      <c r="M897" s="8">
        <v>2019</v>
      </c>
      <c r="N897" s="9">
        <v>0</v>
      </c>
      <c r="O897" s="13">
        <v>41815</v>
      </c>
      <c r="P897" s="13">
        <v>41815</v>
      </c>
    </row>
    <row r="898" spans="1:16">
      <c r="A898" s="10">
        <v>2014</v>
      </c>
      <c r="B898" s="11" t="s">
        <v>483</v>
      </c>
      <c r="C898" s="11" t="s">
        <v>484</v>
      </c>
      <c r="D898" s="12">
        <v>1015042</v>
      </c>
      <c r="E898" s="12">
        <v>2</v>
      </c>
      <c r="F898" s="12"/>
      <c r="G898" s="12">
        <v>760</v>
      </c>
      <c r="H898" s="12">
        <v>12.4</v>
      </c>
      <c r="I898" s="12"/>
      <c r="J898" s="12" t="s">
        <v>113</v>
      </c>
      <c r="K898" s="12" t="b">
        <v>1</v>
      </c>
      <c r="L898" s="12">
        <v>1</v>
      </c>
      <c r="M898" s="8">
        <v>2015</v>
      </c>
      <c r="N898" s="9">
        <v>0</v>
      </c>
      <c r="O898" s="13">
        <v>41815</v>
      </c>
      <c r="P898" s="13">
        <v>41815</v>
      </c>
    </row>
    <row r="899" spans="1:16">
      <c r="A899" s="10">
        <v>2014</v>
      </c>
      <c r="B899" s="11" t="s">
        <v>483</v>
      </c>
      <c r="C899" s="11" t="s">
        <v>484</v>
      </c>
      <c r="D899" s="12">
        <v>1015042</v>
      </c>
      <c r="E899" s="12">
        <v>2</v>
      </c>
      <c r="F899" s="12"/>
      <c r="G899" s="12">
        <v>760</v>
      </c>
      <c r="H899" s="12">
        <v>12.4</v>
      </c>
      <c r="I899" s="12"/>
      <c r="J899" s="12" t="s">
        <v>113</v>
      </c>
      <c r="K899" s="12" t="b">
        <v>1</v>
      </c>
      <c r="L899" s="12">
        <v>8</v>
      </c>
      <c r="M899" s="8">
        <v>2022</v>
      </c>
      <c r="N899" s="9">
        <v>0</v>
      </c>
      <c r="O899" s="13">
        <v>41815</v>
      </c>
      <c r="P899" s="13">
        <v>41815</v>
      </c>
    </row>
    <row r="900" spans="1:16">
      <c r="A900" s="10">
        <v>2014</v>
      </c>
      <c r="B900" s="11" t="s">
        <v>483</v>
      </c>
      <c r="C900" s="11" t="s">
        <v>484</v>
      </c>
      <c r="D900" s="12">
        <v>1015042</v>
      </c>
      <c r="E900" s="12">
        <v>2</v>
      </c>
      <c r="F900" s="12"/>
      <c r="G900" s="12">
        <v>760</v>
      </c>
      <c r="H900" s="12">
        <v>12.4</v>
      </c>
      <c r="I900" s="12"/>
      <c r="J900" s="12" t="s">
        <v>113</v>
      </c>
      <c r="K900" s="12" t="b">
        <v>1</v>
      </c>
      <c r="L900" s="12">
        <v>2</v>
      </c>
      <c r="M900" s="8">
        <v>2016</v>
      </c>
      <c r="N900" s="9">
        <v>0</v>
      </c>
      <c r="O900" s="13">
        <v>41815</v>
      </c>
      <c r="P900" s="13">
        <v>41815</v>
      </c>
    </row>
    <row r="901" spans="1:16">
      <c r="A901" s="10">
        <v>2014</v>
      </c>
      <c r="B901" s="11" t="s">
        <v>483</v>
      </c>
      <c r="C901" s="11" t="s">
        <v>484</v>
      </c>
      <c r="D901" s="12">
        <v>1015042</v>
      </c>
      <c r="E901" s="12">
        <v>2</v>
      </c>
      <c r="F901" s="12"/>
      <c r="G901" s="12">
        <v>760</v>
      </c>
      <c r="H901" s="12">
        <v>12.4</v>
      </c>
      <c r="I901" s="12"/>
      <c r="J901" s="12" t="s">
        <v>113</v>
      </c>
      <c r="K901" s="12" t="b">
        <v>1</v>
      </c>
      <c r="L901" s="12">
        <v>3</v>
      </c>
      <c r="M901" s="8">
        <v>2017</v>
      </c>
      <c r="N901" s="9">
        <v>0</v>
      </c>
      <c r="O901" s="13">
        <v>41815</v>
      </c>
      <c r="P901" s="13">
        <v>41815</v>
      </c>
    </row>
    <row r="902" spans="1:16">
      <c r="A902" s="10">
        <v>2014</v>
      </c>
      <c r="B902" s="11" t="s">
        <v>483</v>
      </c>
      <c r="C902" s="11" t="s">
        <v>484</v>
      </c>
      <c r="D902" s="12">
        <v>1015042</v>
      </c>
      <c r="E902" s="12">
        <v>2</v>
      </c>
      <c r="F902" s="12"/>
      <c r="G902" s="12">
        <v>760</v>
      </c>
      <c r="H902" s="12">
        <v>12.4</v>
      </c>
      <c r="I902" s="12"/>
      <c r="J902" s="12" t="s">
        <v>113</v>
      </c>
      <c r="K902" s="12" t="b">
        <v>1</v>
      </c>
      <c r="L902" s="12">
        <v>4</v>
      </c>
      <c r="M902" s="8">
        <v>2018</v>
      </c>
      <c r="N902" s="9">
        <v>0</v>
      </c>
      <c r="O902" s="13">
        <v>41815</v>
      </c>
      <c r="P902" s="13">
        <v>41815</v>
      </c>
    </row>
    <row r="903" spans="1:16">
      <c r="A903" s="10">
        <v>2014</v>
      </c>
      <c r="B903" s="11" t="s">
        <v>483</v>
      </c>
      <c r="C903" s="11" t="s">
        <v>484</v>
      </c>
      <c r="D903" s="12">
        <v>1015042</v>
      </c>
      <c r="E903" s="12">
        <v>2</v>
      </c>
      <c r="F903" s="12"/>
      <c r="G903" s="12">
        <v>760</v>
      </c>
      <c r="H903" s="12">
        <v>12.4</v>
      </c>
      <c r="I903" s="12"/>
      <c r="J903" s="12" t="s">
        <v>113</v>
      </c>
      <c r="K903" s="12" t="b">
        <v>1</v>
      </c>
      <c r="L903" s="12">
        <v>0</v>
      </c>
      <c r="M903" s="8">
        <v>2014</v>
      </c>
      <c r="N903" s="9">
        <v>850962.17</v>
      </c>
      <c r="O903" s="13">
        <v>41815</v>
      </c>
      <c r="P903" s="13">
        <v>41815</v>
      </c>
    </row>
    <row r="904" spans="1:16">
      <c r="A904" s="10">
        <v>2014</v>
      </c>
      <c r="B904" s="11" t="s">
        <v>483</v>
      </c>
      <c r="C904" s="11" t="s">
        <v>484</v>
      </c>
      <c r="D904" s="12">
        <v>1015042</v>
      </c>
      <c r="E904" s="12">
        <v>2</v>
      </c>
      <c r="F904" s="12"/>
      <c r="G904" s="12">
        <v>765</v>
      </c>
      <c r="H904" s="12">
        <v>12.6</v>
      </c>
      <c r="I904" s="12"/>
      <c r="J904" s="12" t="s">
        <v>402</v>
      </c>
      <c r="K904" s="12" t="b">
        <v>1</v>
      </c>
      <c r="L904" s="12">
        <v>1</v>
      </c>
      <c r="M904" s="8">
        <v>2015</v>
      </c>
      <c r="N904" s="9">
        <v>0</v>
      </c>
      <c r="O904" s="13">
        <v>41815</v>
      </c>
      <c r="P904" s="13">
        <v>41815</v>
      </c>
    </row>
    <row r="905" spans="1:16">
      <c r="A905" s="10">
        <v>2014</v>
      </c>
      <c r="B905" s="11" t="s">
        <v>483</v>
      </c>
      <c r="C905" s="11" t="s">
        <v>484</v>
      </c>
      <c r="D905" s="12">
        <v>1015042</v>
      </c>
      <c r="E905" s="12">
        <v>2</v>
      </c>
      <c r="F905" s="12"/>
      <c r="G905" s="12">
        <v>765</v>
      </c>
      <c r="H905" s="12">
        <v>12.6</v>
      </c>
      <c r="I905" s="12"/>
      <c r="J905" s="12" t="s">
        <v>402</v>
      </c>
      <c r="K905" s="12" t="b">
        <v>1</v>
      </c>
      <c r="L905" s="12">
        <v>2</v>
      </c>
      <c r="M905" s="8">
        <v>2016</v>
      </c>
      <c r="N905" s="9">
        <v>0</v>
      </c>
      <c r="O905" s="13">
        <v>41815</v>
      </c>
      <c r="P905" s="13">
        <v>41815</v>
      </c>
    </row>
    <row r="906" spans="1:16">
      <c r="A906" s="10">
        <v>2014</v>
      </c>
      <c r="B906" s="11" t="s">
        <v>483</v>
      </c>
      <c r="C906" s="11" t="s">
        <v>484</v>
      </c>
      <c r="D906" s="12">
        <v>1015042</v>
      </c>
      <c r="E906" s="12">
        <v>2</v>
      </c>
      <c r="F906" s="12"/>
      <c r="G906" s="12">
        <v>765</v>
      </c>
      <c r="H906" s="12">
        <v>12.6</v>
      </c>
      <c r="I906" s="12"/>
      <c r="J906" s="12" t="s">
        <v>402</v>
      </c>
      <c r="K906" s="12" t="b">
        <v>1</v>
      </c>
      <c r="L906" s="12">
        <v>3</v>
      </c>
      <c r="M906" s="8">
        <v>2017</v>
      </c>
      <c r="N906" s="9">
        <v>0</v>
      </c>
      <c r="O906" s="13">
        <v>41815</v>
      </c>
      <c r="P906" s="13">
        <v>41815</v>
      </c>
    </row>
    <row r="907" spans="1:16">
      <c r="A907" s="10">
        <v>2014</v>
      </c>
      <c r="B907" s="11" t="s">
        <v>483</v>
      </c>
      <c r="C907" s="11" t="s">
        <v>484</v>
      </c>
      <c r="D907" s="12">
        <v>1015042</v>
      </c>
      <c r="E907" s="12">
        <v>2</v>
      </c>
      <c r="F907" s="12"/>
      <c r="G907" s="12">
        <v>765</v>
      </c>
      <c r="H907" s="12">
        <v>12.6</v>
      </c>
      <c r="I907" s="12"/>
      <c r="J907" s="12" t="s">
        <v>402</v>
      </c>
      <c r="K907" s="12" t="b">
        <v>1</v>
      </c>
      <c r="L907" s="12">
        <v>5</v>
      </c>
      <c r="M907" s="8">
        <v>2019</v>
      </c>
      <c r="N907" s="9">
        <v>0</v>
      </c>
      <c r="O907" s="13">
        <v>41815</v>
      </c>
      <c r="P907" s="13">
        <v>41815</v>
      </c>
    </row>
    <row r="908" spans="1:16">
      <c r="A908" s="10">
        <v>2014</v>
      </c>
      <c r="B908" s="11" t="s">
        <v>483</v>
      </c>
      <c r="C908" s="11" t="s">
        <v>484</v>
      </c>
      <c r="D908" s="12">
        <v>1015042</v>
      </c>
      <c r="E908" s="12">
        <v>2</v>
      </c>
      <c r="F908" s="12"/>
      <c r="G908" s="12">
        <v>765</v>
      </c>
      <c r="H908" s="12">
        <v>12.6</v>
      </c>
      <c r="I908" s="12"/>
      <c r="J908" s="12" t="s">
        <v>402</v>
      </c>
      <c r="K908" s="12" t="b">
        <v>1</v>
      </c>
      <c r="L908" s="12">
        <v>0</v>
      </c>
      <c r="M908" s="8">
        <v>2014</v>
      </c>
      <c r="N908" s="9">
        <v>0</v>
      </c>
      <c r="O908" s="13">
        <v>41815</v>
      </c>
      <c r="P908" s="13">
        <v>41815</v>
      </c>
    </row>
    <row r="909" spans="1:16">
      <c r="A909" s="10">
        <v>2014</v>
      </c>
      <c r="B909" s="11" t="s">
        <v>483</v>
      </c>
      <c r="C909" s="11" t="s">
        <v>484</v>
      </c>
      <c r="D909" s="12">
        <v>1015042</v>
      </c>
      <c r="E909" s="12">
        <v>2</v>
      </c>
      <c r="F909" s="12"/>
      <c r="G909" s="12">
        <v>765</v>
      </c>
      <c r="H909" s="12">
        <v>12.6</v>
      </c>
      <c r="I909" s="12"/>
      <c r="J909" s="12" t="s">
        <v>402</v>
      </c>
      <c r="K909" s="12" t="b">
        <v>1</v>
      </c>
      <c r="L909" s="12">
        <v>8</v>
      </c>
      <c r="M909" s="8">
        <v>2022</v>
      </c>
      <c r="N909" s="9">
        <v>0</v>
      </c>
      <c r="O909" s="13">
        <v>41815</v>
      </c>
      <c r="P909" s="13">
        <v>41815</v>
      </c>
    </row>
    <row r="910" spans="1:16">
      <c r="A910" s="10">
        <v>2014</v>
      </c>
      <c r="B910" s="11" t="s">
        <v>483</v>
      </c>
      <c r="C910" s="11" t="s">
        <v>484</v>
      </c>
      <c r="D910" s="12">
        <v>1015042</v>
      </c>
      <c r="E910" s="12">
        <v>2</v>
      </c>
      <c r="F910" s="12"/>
      <c r="G910" s="12">
        <v>765</v>
      </c>
      <c r="H910" s="12">
        <v>12.6</v>
      </c>
      <c r="I910" s="12"/>
      <c r="J910" s="12" t="s">
        <v>402</v>
      </c>
      <c r="K910" s="12" t="b">
        <v>1</v>
      </c>
      <c r="L910" s="12">
        <v>6</v>
      </c>
      <c r="M910" s="8">
        <v>2020</v>
      </c>
      <c r="N910" s="9">
        <v>0</v>
      </c>
      <c r="O910" s="13">
        <v>41815</v>
      </c>
      <c r="P910" s="13">
        <v>41815</v>
      </c>
    </row>
    <row r="911" spans="1:16">
      <c r="A911" s="10">
        <v>2014</v>
      </c>
      <c r="B911" s="11" t="s">
        <v>483</v>
      </c>
      <c r="C911" s="11" t="s">
        <v>484</v>
      </c>
      <c r="D911" s="12">
        <v>1015042</v>
      </c>
      <c r="E911" s="12">
        <v>2</v>
      </c>
      <c r="F911" s="12"/>
      <c r="G911" s="12">
        <v>765</v>
      </c>
      <c r="H911" s="12">
        <v>12.6</v>
      </c>
      <c r="I911" s="12"/>
      <c r="J911" s="12" t="s">
        <v>402</v>
      </c>
      <c r="K911" s="12" t="b">
        <v>1</v>
      </c>
      <c r="L911" s="12">
        <v>7</v>
      </c>
      <c r="M911" s="8">
        <v>2021</v>
      </c>
      <c r="N911" s="9">
        <v>0</v>
      </c>
      <c r="O911" s="13">
        <v>41815</v>
      </c>
      <c r="P911" s="13">
        <v>41815</v>
      </c>
    </row>
    <row r="912" spans="1:16">
      <c r="A912" s="10">
        <v>2014</v>
      </c>
      <c r="B912" s="11" t="s">
        <v>483</v>
      </c>
      <c r="C912" s="11" t="s">
        <v>484</v>
      </c>
      <c r="D912" s="12">
        <v>1015042</v>
      </c>
      <c r="E912" s="12">
        <v>2</v>
      </c>
      <c r="F912" s="12"/>
      <c r="G912" s="12">
        <v>765</v>
      </c>
      <c r="H912" s="12">
        <v>12.6</v>
      </c>
      <c r="I912" s="12"/>
      <c r="J912" s="12" t="s">
        <v>402</v>
      </c>
      <c r="K912" s="12" t="b">
        <v>1</v>
      </c>
      <c r="L912" s="12">
        <v>4</v>
      </c>
      <c r="M912" s="8">
        <v>2018</v>
      </c>
      <c r="N912" s="9">
        <v>0</v>
      </c>
      <c r="O912" s="13">
        <v>41815</v>
      </c>
      <c r="P912" s="13">
        <v>41815</v>
      </c>
    </row>
    <row r="913" spans="1:16">
      <c r="A913" s="10">
        <v>2014</v>
      </c>
      <c r="B913" s="11" t="s">
        <v>483</v>
      </c>
      <c r="C913" s="11" t="s">
        <v>484</v>
      </c>
      <c r="D913" s="12">
        <v>1015042</v>
      </c>
      <c r="E913" s="12">
        <v>2</v>
      </c>
      <c r="F913" s="12"/>
      <c r="G913" s="12">
        <v>800</v>
      </c>
      <c r="H913" s="12">
        <v>13.1</v>
      </c>
      <c r="I913" s="12"/>
      <c r="J913" s="12" t="s">
        <v>119</v>
      </c>
      <c r="K913" s="12" t="b">
        <v>1</v>
      </c>
      <c r="L913" s="12">
        <v>4</v>
      </c>
      <c r="M913" s="8">
        <v>2018</v>
      </c>
      <c r="N913" s="9">
        <v>0</v>
      </c>
      <c r="O913" s="13">
        <v>41815</v>
      </c>
      <c r="P913" s="13">
        <v>41815</v>
      </c>
    </row>
    <row r="914" spans="1:16">
      <c r="A914" s="10">
        <v>2014</v>
      </c>
      <c r="B914" s="11" t="s">
        <v>483</v>
      </c>
      <c r="C914" s="11" t="s">
        <v>484</v>
      </c>
      <c r="D914" s="12">
        <v>1015042</v>
      </c>
      <c r="E914" s="12">
        <v>2</v>
      </c>
      <c r="F914" s="12"/>
      <c r="G914" s="12">
        <v>800</v>
      </c>
      <c r="H914" s="12">
        <v>13.1</v>
      </c>
      <c r="I914" s="12"/>
      <c r="J914" s="12" t="s">
        <v>119</v>
      </c>
      <c r="K914" s="12" t="b">
        <v>1</v>
      </c>
      <c r="L914" s="12">
        <v>2</v>
      </c>
      <c r="M914" s="8">
        <v>2016</v>
      </c>
      <c r="N914" s="9">
        <v>0</v>
      </c>
      <c r="O914" s="13">
        <v>41815</v>
      </c>
      <c r="P914" s="13">
        <v>41815</v>
      </c>
    </row>
    <row r="915" spans="1:16">
      <c r="A915" s="10">
        <v>2014</v>
      </c>
      <c r="B915" s="11" t="s">
        <v>483</v>
      </c>
      <c r="C915" s="11" t="s">
        <v>484</v>
      </c>
      <c r="D915" s="12">
        <v>1015042</v>
      </c>
      <c r="E915" s="12">
        <v>2</v>
      </c>
      <c r="F915" s="12"/>
      <c r="G915" s="12">
        <v>800</v>
      </c>
      <c r="H915" s="12">
        <v>13.1</v>
      </c>
      <c r="I915" s="12"/>
      <c r="J915" s="12" t="s">
        <v>119</v>
      </c>
      <c r="K915" s="12" t="b">
        <v>1</v>
      </c>
      <c r="L915" s="12">
        <v>1</v>
      </c>
      <c r="M915" s="8">
        <v>2015</v>
      </c>
      <c r="N915" s="9">
        <v>0</v>
      </c>
      <c r="O915" s="13">
        <v>41815</v>
      </c>
      <c r="P915" s="13">
        <v>41815</v>
      </c>
    </row>
    <row r="916" spans="1:16">
      <c r="A916" s="10">
        <v>2014</v>
      </c>
      <c r="B916" s="11" t="s">
        <v>483</v>
      </c>
      <c r="C916" s="11" t="s">
        <v>484</v>
      </c>
      <c r="D916" s="12">
        <v>1015042</v>
      </c>
      <c r="E916" s="12">
        <v>2</v>
      </c>
      <c r="F916" s="12"/>
      <c r="G916" s="12">
        <v>800</v>
      </c>
      <c r="H916" s="12">
        <v>13.1</v>
      </c>
      <c r="I916" s="12"/>
      <c r="J916" s="12" t="s">
        <v>119</v>
      </c>
      <c r="K916" s="12" t="b">
        <v>1</v>
      </c>
      <c r="L916" s="12">
        <v>3</v>
      </c>
      <c r="M916" s="8">
        <v>2017</v>
      </c>
      <c r="N916" s="9">
        <v>0</v>
      </c>
      <c r="O916" s="13">
        <v>41815</v>
      </c>
      <c r="P916" s="13">
        <v>41815</v>
      </c>
    </row>
    <row r="917" spans="1:16">
      <c r="A917" s="10">
        <v>2014</v>
      </c>
      <c r="B917" s="11" t="s">
        <v>483</v>
      </c>
      <c r="C917" s="11" t="s">
        <v>484</v>
      </c>
      <c r="D917" s="12">
        <v>1015042</v>
      </c>
      <c r="E917" s="12">
        <v>2</v>
      </c>
      <c r="F917" s="12"/>
      <c r="G917" s="12">
        <v>800</v>
      </c>
      <c r="H917" s="12">
        <v>13.1</v>
      </c>
      <c r="I917" s="12"/>
      <c r="J917" s="12" t="s">
        <v>119</v>
      </c>
      <c r="K917" s="12" t="b">
        <v>1</v>
      </c>
      <c r="L917" s="12">
        <v>8</v>
      </c>
      <c r="M917" s="8">
        <v>2022</v>
      </c>
      <c r="N917" s="9">
        <v>0</v>
      </c>
      <c r="O917" s="13">
        <v>41815</v>
      </c>
      <c r="P917" s="13">
        <v>41815</v>
      </c>
    </row>
    <row r="918" spans="1:16">
      <c r="A918" s="10">
        <v>2014</v>
      </c>
      <c r="B918" s="11" t="s">
        <v>483</v>
      </c>
      <c r="C918" s="11" t="s">
        <v>484</v>
      </c>
      <c r="D918" s="12">
        <v>1015042</v>
      </c>
      <c r="E918" s="12">
        <v>2</v>
      </c>
      <c r="F918" s="12"/>
      <c r="G918" s="12">
        <v>800</v>
      </c>
      <c r="H918" s="12">
        <v>13.1</v>
      </c>
      <c r="I918" s="12"/>
      <c r="J918" s="12" t="s">
        <v>119</v>
      </c>
      <c r="K918" s="12" t="b">
        <v>1</v>
      </c>
      <c r="L918" s="12">
        <v>7</v>
      </c>
      <c r="M918" s="8">
        <v>2021</v>
      </c>
      <c r="N918" s="9">
        <v>0</v>
      </c>
      <c r="O918" s="13">
        <v>41815</v>
      </c>
      <c r="P918" s="13">
        <v>41815</v>
      </c>
    </row>
    <row r="919" spans="1:16">
      <c r="A919" s="10">
        <v>2014</v>
      </c>
      <c r="B919" s="11" t="s">
        <v>483</v>
      </c>
      <c r="C919" s="11" t="s">
        <v>484</v>
      </c>
      <c r="D919" s="12">
        <v>1015042</v>
      </c>
      <c r="E919" s="12">
        <v>2</v>
      </c>
      <c r="F919" s="12"/>
      <c r="G919" s="12">
        <v>800</v>
      </c>
      <c r="H919" s="12">
        <v>13.1</v>
      </c>
      <c r="I919" s="12"/>
      <c r="J919" s="12" t="s">
        <v>119</v>
      </c>
      <c r="K919" s="12" t="b">
        <v>1</v>
      </c>
      <c r="L919" s="12">
        <v>5</v>
      </c>
      <c r="M919" s="8">
        <v>2019</v>
      </c>
      <c r="N919" s="9">
        <v>0</v>
      </c>
      <c r="O919" s="13">
        <v>41815</v>
      </c>
      <c r="P919" s="13">
        <v>41815</v>
      </c>
    </row>
    <row r="920" spans="1:16">
      <c r="A920" s="10">
        <v>2014</v>
      </c>
      <c r="B920" s="11" t="s">
        <v>483</v>
      </c>
      <c r="C920" s="11" t="s">
        <v>484</v>
      </c>
      <c r="D920" s="12">
        <v>1015042</v>
      </c>
      <c r="E920" s="12">
        <v>2</v>
      </c>
      <c r="F920" s="12"/>
      <c r="G920" s="12">
        <v>800</v>
      </c>
      <c r="H920" s="12">
        <v>13.1</v>
      </c>
      <c r="I920" s="12"/>
      <c r="J920" s="12" t="s">
        <v>119</v>
      </c>
      <c r="K920" s="12" t="b">
        <v>1</v>
      </c>
      <c r="L920" s="12">
        <v>0</v>
      </c>
      <c r="M920" s="8">
        <v>2014</v>
      </c>
      <c r="N920" s="9">
        <v>0</v>
      </c>
      <c r="O920" s="13">
        <v>41815</v>
      </c>
      <c r="P920" s="13">
        <v>41815</v>
      </c>
    </row>
    <row r="921" spans="1:16">
      <c r="A921" s="10">
        <v>2014</v>
      </c>
      <c r="B921" s="11" t="s">
        <v>483</v>
      </c>
      <c r="C921" s="11" t="s">
        <v>484</v>
      </c>
      <c r="D921" s="12">
        <v>1015042</v>
      </c>
      <c r="E921" s="12">
        <v>2</v>
      </c>
      <c r="F921" s="12"/>
      <c r="G921" s="12">
        <v>800</v>
      </c>
      <c r="H921" s="12">
        <v>13.1</v>
      </c>
      <c r="I921" s="12"/>
      <c r="J921" s="12" t="s">
        <v>119</v>
      </c>
      <c r="K921" s="12" t="b">
        <v>1</v>
      </c>
      <c r="L921" s="12">
        <v>6</v>
      </c>
      <c r="M921" s="8">
        <v>2020</v>
      </c>
      <c r="N921" s="9">
        <v>0</v>
      </c>
      <c r="O921" s="13">
        <v>41815</v>
      </c>
      <c r="P921" s="13">
        <v>41815</v>
      </c>
    </row>
    <row r="922" spans="1:16">
      <c r="A922" s="10">
        <v>2014</v>
      </c>
      <c r="B922" s="11" t="s">
        <v>483</v>
      </c>
      <c r="C922" s="11" t="s">
        <v>484</v>
      </c>
      <c r="D922" s="12">
        <v>1015042</v>
      </c>
      <c r="E922" s="12">
        <v>2</v>
      </c>
      <c r="F922" s="12"/>
      <c r="G922" s="12">
        <v>870</v>
      </c>
      <c r="H922" s="12">
        <v>14</v>
      </c>
      <c r="I922" s="12"/>
      <c r="J922" s="12" t="s">
        <v>126</v>
      </c>
      <c r="K922" s="12" t="b">
        <v>1</v>
      </c>
      <c r="L922" s="12">
        <v>4</v>
      </c>
      <c r="M922" s="8">
        <v>2018</v>
      </c>
      <c r="N922" s="9">
        <v>0</v>
      </c>
      <c r="O922" s="13">
        <v>41815</v>
      </c>
      <c r="P922" s="13">
        <v>41815</v>
      </c>
    </row>
    <row r="923" spans="1:16">
      <c r="A923" s="10">
        <v>2014</v>
      </c>
      <c r="B923" s="11" t="s">
        <v>483</v>
      </c>
      <c r="C923" s="11" t="s">
        <v>484</v>
      </c>
      <c r="D923" s="12">
        <v>1015042</v>
      </c>
      <c r="E923" s="12">
        <v>2</v>
      </c>
      <c r="F923" s="12"/>
      <c r="G923" s="12">
        <v>870</v>
      </c>
      <c r="H923" s="12">
        <v>14</v>
      </c>
      <c r="I923" s="12"/>
      <c r="J923" s="12" t="s">
        <v>126</v>
      </c>
      <c r="K923" s="12" t="b">
        <v>1</v>
      </c>
      <c r="L923" s="12">
        <v>6</v>
      </c>
      <c r="M923" s="8">
        <v>2020</v>
      </c>
      <c r="N923" s="9">
        <v>0</v>
      </c>
      <c r="O923" s="13">
        <v>41815</v>
      </c>
      <c r="P923" s="13">
        <v>41815</v>
      </c>
    </row>
    <row r="924" spans="1:16">
      <c r="A924" s="10">
        <v>2014</v>
      </c>
      <c r="B924" s="11" t="s">
        <v>483</v>
      </c>
      <c r="C924" s="11" t="s">
        <v>484</v>
      </c>
      <c r="D924" s="12">
        <v>1015042</v>
      </c>
      <c r="E924" s="12">
        <v>2</v>
      </c>
      <c r="F924" s="12"/>
      <c r="G924" s="12">
        <v>870</v>
      </c>
      <c r="H924" s="12">
        <v>14</v>
      </c>
      <c r="I924" s="12"/>
      <c r="J924" s="12" t="s">
        <v>126</v>
      </c>
      <c r="K924" s="12" t="b">
        <v>1</v>
      </c>
      <c r="L924" s="12">
        <v>5</v>
      </c>
      <c r="M924" s="8">
        <v>2019</v>
      </c>
      <c r="N924" s="9">
        <v>0</v>
      </c>
      <c r="O924" s="13">
        <v>41815</v>
      </c>
      <c r="P924" s="13">
        <v>41815</v>
      </c>
    </row>
    <row r="925" spans="1:16">
      <c r="A925" s="10">
        <v>2014</v>
      </c>
      <c r="B925" s="11" t="s">
        <v>483</v>
      </c>
      <c r="C925" s="11" t="s">
        <v>484</v>
      </c>
      <c r="D925" s="12">
        <v>1015042</v>
      </c>
      <c r="E925" s="12">
        <v>2</v>
      </c>
      <c r="F925" s="12"/>
      <c r="G925" s="12">
        <v>870</v>
      </c>
      <c r="H925" s="12">
        <v>14</v>
      </c>
      <c r="I925" s="12"/>
      <c r="J925" s="12" t="s">
        <v>126</v>
      </c>
      <c r="K925" s="12" t="b">
        <v>1</v>
      </c>
      <c r="L925" s="12">
        <v>3</v>
      </c>
      <c r="M925" s="8">
        <v>2017</v>
      </c>
      <c r="N925" s="9">
        <v>0</v>
      </c>
      <c r="O925" s="13">
        <v>41815</v>
      </c>
      <c r="P925" s="13">
        <v>41815</v>
      </c>
    </row>
    <row r="926" spans="1:16">
      <c r="A926" s="10">
        <v>2014</v>
      </c>
      <c r="B926" s="11" t="s">
        <v>483</v>
      </c>
      <c r="C926" s="11" t="s">
        <v>484</v>
      </c>
      <c r="D926" s="12">
        <v>1015042</v>
      </c>
      <c r="E926" s="12">
        <v>2</v>
      </c>
      <c r="F926" s="12"/>
      <c r="G926" s="12">
        <v>870</v>
      </c>
      <c r="H926" s="12">
        <v>14</v>
      </c>
      <c r="I926" s="12"/>
      <c r="J926" s="12" t="s">
        <v>126</v>
      </c>
      <c r="K926" s="12" t="b">
        <v>1</v>
      </c>
      <c r="L926" s="12">
        <v>7</v>
      </c>
      <c r="M926" s="8">
        <v>2021</v>
      </c>
      <c r="N926" s="9">
        <v>0</v>
      </c>
      <c r="O926" s="13">
        <v>41815</v>
      </c>
      <c r="P926" s="13">
        <v>41815</v>
      </c>
    </row>
    <row r="927" spans="1:16">
      <c r="A927" s="10">
        <v>2014</v>
      </c>
      <c r="B927" s="11" t="s">
        <v>483</v>
      </c>
      <c r="C927" s="11" t="s">
        <v>484</v>
      </c>
      <c r="D927" s="12">
        <v>1015042</v>
      </c>
      <c r="E927" s="12">
        <v>2</v>
      </c>
      <c r="F927" s="12"/>
      <c r="G927" s="12">
        <v>870</v>
      </c>
      <c r="H927" s="12">
        <v>14</v>
      </c>
      <c r="I927" s="12"/>
      <c r="J927" s="12" t="s">
        <v>126</v>
      </c>
      <c r="K927" s="12" t="b">
        <v>1</v>
      </c>
      <c r="L927" s="12">
        <v>1</v>
      </c>
      <c r="M927" s="8">
        <v>2015</v>
      </c>
      <c r="N927" s="9">
        <v>0</v>
      </c>
      <c r="O927" s="13">
        <v>41815</v>
      </c>
      <c r="P927" s="13">
        <v>41815</v>
      </c>
    </row>
    <row r="928" spans="1:16">
      <c r="A928" s="10">
        <v>2014</v>
      </c>
      <c r="B928" s="11" t="s">
        <v>483</v>
      </c>
      <c r="C928" s="11" t="s">
        <v>484</v>
      </c>
      <c r="D928" s="12">
        <v>1015042</v>
      </c>
      <c r="E928" s="12">
        <v>2</v>
      </c>
      <c r="F928" s="12"/>
      <c r="G928" s="12">
        <v>870</v>
      </c>
      <c r="H928" s="12">
        <v>14</v>
      </c>
      <c r="I928" s="12"/>
      <c r="J928" s="12" t="s">
        <v>126</v>
      </c>
      <c r="K928" s="12" t="b">
        <v>1</v>
      </c>
      <c r="L928" s="12">
        <v>2</v>
      </c>
      <c r="M928" s="8">
        <v>2016</v>
      </c>
      <c r="N928" s="9">
        <v>0</v>
      </c>
      <c r="O928" s="13">
        <v>41815</v>
      </c>
      <c r="P928" s="13">
        <v>41815</v>
      </c>
    </row>
    <row r="929" spans="1:16">
      <c r="A929" s="10">
        <v>2014</v>
      </c>
      <c r="B929" s="11" t="s">
        <v>483</v>
      </c>
      <c r="C929" s="11" t="s">
        <v>484</v>
      </c>
      <c r="D929" s="12">
        <v>1015042</v>
      </c>
      <c r="E929" s="12">
        <v>2</v>
      </c>
      <c r="F929" s="12"/>
      <c r="G929" s="12">
        <v>870</v>
      </c>
      <c r="H929" s="12">
        <v>14</v>
      </c>
      <c r="I929" s="12"/>
      <c r="J929" s="12" t="s">
        <v>126</v>
      </c>
      <c r="K929" s="12" t="b">
        <v>1</v>
      </c>
      <c r="L929" s="12">
        <v>0</v>
      </c>
      <c r="M929" s="8">
        <v>2014</v>
      </c>
      <c r="N929" s="9">
        <v>0</v>
      </c>
      <c r="O929" s="13">
        <v>41815</v>
      </c>
      <c r="P929" s="13">
        <v>41815</v>
      </c>
    </row>
    <row r="930" spans="1:16">
      <c r="A930" s="10">
        <v>2014</v>
      </c>
      <c r="B930" s="11" t="s">
        <v>483</v>
      </c>
      <c r="C930" s="11" t="s">
        <v>484</v>
      </c>
      <c r="D930" s="12">
        <v>1015042</v>
      </c>
      <c r="E930" s="12">
        <v>2</v>
      </c>
      <c r="F930" s="12"/>
      <c r="G930" s="12">
        <v>870</v>
      </c>
      <c r="H930" s="12">
        <v>14</v>
      </c>
      <c r="I930" s="12"/>
      <c r="J930" s="12" t="s">
        <v>126</v>
      </c>
      <c r="K930" s="12" t="b">
        <v>1</v>
      </c>
      <c r="L930" s="12">
        <v>8</v>
      </c>
      <c r="M930" s="8">
        <v>2022</v>
      </c>
      <c r="N930" s="9">
        <v>0</v>
      </c>
      <c r="O930" s="13">
        <v>41815</v>
      </c>
      <c r="P930" s="13">
        <v>41815</v>
      </c>
    </row>
    <row r="931" spans="1:16">
      <c r="A931" s="10">
        <v>2014</v>
      </c>
      <c r="B931" s="11" t="s">
        <v>483</v>
      </c>
      <c r="C931" s="11" t="s">
        <v>484</v>
      </c>
      <c r="D931" s="12">
        <v>1015042</v>
      </c>
      <c r="E931" s="12">
        <v>2</v>
      </c>
      <c r="F931" s="12"/>
      <c r="G931" s="12">
        <v>900</v>
      </c>
      <c r="H931" s="12">
        <v>14.3</v>
      </c>
      <c r="I931" s="12"/>
      <c r="J931" s="12" t="s">
        <v>129</v>
      </c>
      <c r="K931" s="12" t="b">
        <v>1</v>
      </c>
      <c r="L931" s="12">
        <v>7</v>
      </c>
      <c r="M931" s="8">
        <v>2021</v>
      </c>
      <c r="N931" s="9">
        <v>0</v>
      </c>
      <c r="O931" s="13">
        <v>41815</v>
      </c>
      <c r="P931" s="13">
        <v>41815</v>
      </c>
    </row>
    <row r="932" spans="1:16">
      <c r="A932" s="10">
        <v>2014</v>
      </c>
      <c r="B932" s="11" t="s">
        <v>483</v>
      </c>
      <c r="C932" s="11" t="s">
        <v>484</v>
      </c>
      <c r="D932" s="12">
        <v>1015042</v>
      </c>
      <c r="E932" s="12">
        <v>2</v>
      </c>
      <c r="F932" s="12"/>
      <c r="G932" s="12">
        <v>900</v>
      </c>
      <c r="H932" s="12">
        <v>14.3</v>
      </c>
      <c r="I932" s="12"/>
      <c r="J932" s="12" t="s">
        <v>129</v>
      </c>
      <c r="K932" s="12" t="b">
        <v>1</v>
      </c>
      <c r="L932" s="12">
        <v>0</v>
      </c>
      <c r="M932" s="8">
        <v>2014</v>
      </c>
      <c r="N932" s="9">
        <v>0</v>
      </c>
      <c r="O932" s="13">
        <v>41815</v>
      </c>
      <c r="P932" s="13">
        <v>41815</v>
      </c>
    </row>
    <row r="933" spans="1:16">
      <c r="A933" s="10">
        <v>2014</v>
      </c>
      <c r="B933" s="11" t="s">
        <v>483</v>
      </c>
      <c r="C933" s="11" t="s">
        <v>484</v>
      </c>
      <c r="D933" s="12">
        <v>1015042</v>
      </c>
      <c r="E933" s="12">
        <v>2</v>
      </c>
      <c r="F933" s="12"/>
      <c r="G933" s="12">
        <v>900</v>
      </c>
      <c r="H933" s="12">
        <v>14.3</v>
      </c>
      <c r="I933" s="12"/>
      <c r="J933" s="12" t="s">
        <v>129</v>
      </c>
      <c r="K933" s="12" t="b">
        <v>1</v>
      </c>
      <c r="L933" s="12">
        <v>3</v>
      </c>
      <c r="M933" s="8">
        <v>2017</v>
      </c>
      <c r="N933" s="9">
        <v>0</v>
      </c>
      <c r="O933" s="13">
        <v>41815</v>
      </c>
      <c r="P933" s="13">
        <v>41815</v>
      </c>
    </row>
    <row r="934" spans="1:16">
      <c r="A934" s="10">
        <v>2014</v>
      </c>
      <c r="B934" s="11" t="s">
        <v>483</v>
      </c>
      <c r="C934" s="11" t="s">
        <v>484</v>
      </c>
      <c r="D934" s="12">
        <v>1015042</v>
      </c>
      <c r="E934" s="12">
        <v>2</v>
      </c>
      <c r="F934" s="12"/>
      <c r="G934" s="12">
        <v>900</v>
      </c>
      <c r="H934" s="12">
        <v>14.3</v>
      </c>
      <c r="I934" s="12"/>
      <c r="J934" s="12" t="s">
        <v>129</v>
      </c>
      <c r="K934" s="12" t="b">
        <v>1</v>
      </c>
      <c r="L934" s="12">
        <v>4</v>
      </c>
      <c r="M934" s="8">
        <v>2018</v>
      </c>
      <c r="N934" s="9">
        <v>0</v>
      </c>
      <c r="O934" s="13">
        <v>41815</v>
      </c>
      <c r="P934" s="13">
        <v>41815</v>
      </c>
    </row>
    <row r="935" spans="1:16">
      <c r="A935" s="10">
        <v>2014</v>
      </c>
      <c r="B935" s="11" t="s">
        <v>483</v>
      </c>
      <c r="C935" s="11" t="s">
        <v>484</v>
      </c>
      <c r="D935" s="12">
        <v>1015042</v>
      </c>
      <c r="E935" s="12">
        <v>2</v>
      </c>
      <c r="F935" s="12"/>
      <c r="G935" s="12">
        <v>900</v>
      </c>
      <c r="H935" s="12">
        <v>14.3</v>
      </c>
      <c r="I935" s="12"/>
      <c r="J935" s="12" t="s">
        <v>129</v>
      </c>
      <c r="K935" s="12" t="b">
        <v>1</v>
      </c>
      <c r="L935" s="12">
        <v>5</v>
      </c>
      <c r="M935" s="8">
        <v>2019</v>
      </c>
      <c r="N935" s="9">
        <v>0</v>
      </c>
      <c r="O935" s="13">
        <v>41815</v>
      </c>
      <c r="P935" s="13">
        <v>41815</v>
      </c>
    </row>
    <row r="936" spans="1:16">
      <c r="A936" s="10">
        <v>2014</v>
      </c>
      <c r="B936" s="11" t="s">
        <v>483</v>
      </c>
      <c r="C936" s="11" t="s">
        <v>484</v>
      </c>
      <c r="D936" s="12">
        <v>1015042</v>
      </c>
      <c r="E936" s="12">
        <v>2</v>
      </c>
      <c r="F936" s="12"/>
      <c r="G936" s="12">
        <v>900</v>
      </c>
      <c r="H936" s="12">
        <v>14.3</v>
      </c>
      <c r="I936" s="12"/>
      <c r="J936" s="12" t="s">
        <v>129</v>
      </c>
      <c r="K936" s="12" t="b">
        <v>1</v>
      </c>
      <c r="L936" s="12">
        <v>2</v>
      </c>
      <c r="M936" s="8">
        <v>2016</v>
      </c>
      <c r="N936" s="9">
        <v>0</v>
      </c>
      <c r="O936" s="13">
        <v>41815</v>
      </c>
      <c r="P936" s="13">
        <v>41815</v>
      </c>
    </row>
    <row r="937" spans="1:16">
      <c r="A937" s="10">
        <v>2014</v>
      </c>
      <c r="B937" s="11" t="s">
        <v>483</v>
      </c>
      <c r="C937" s="11" t="s">
        <v>484</v>
      </c>
      <c r="D937" s="12">
        <v>1015042</v>
      </c>
      <c r="E937" s="12">
        <v>2</v>
      </c>
      <c r="F937" s="12"/>
      <c r="G937" s="12">
        <v>900</v>
      </c>
      <c r="H937" s="12">
        <v>14.3</v>
      </c>
      <c r="I937" s="12"/>
      <c r="J937" s="12" t="s">
        <v>129</v>
      </c>
      <c r="K937" s="12" t="b">
        <v>1</v>
      </c>
      <c r="L937" s="12">
        <v>6</v>
      </c>
      <c r="M937" s="8">
        <v>2020</v>
      </c>
      <c r="N937" s="9">
        <v>0</v>
      </c>
      <c r="O937" s="13">
        <v>41815</v>
      </c>
      <c r="P937" s="13">
        <v>41815</v>
      </c>
    </row>
    <row r="938" spans="1:16">
      <c r="A938" s="10">
        <v>2014</v>
      </c>
      <c r="B938" s="11" t="s">
        <v>483</v>
      </c>
      <c r="C938" s="11" t="s">
        <v>484</v>
      </c>
      <c r="D938" s="12">
        <v>1015042</v>
      </c>
      <c r="E938" s="12">
        <v>2</v>
      </c>
      <c r="F938" s="12"/>
      <c r="G938" s="12">
        <v>900</v>
      </c>
      <c r="H938" s="12">
        <v>14.3</v>
      </c>
      <c r="I938" s="12"/>
      <c r="J938" s="12" t="s">
        <v>129</v>
      </c>
      <c r="K938" s="12" t="b">
        <v>1</v>
      </c>
      <c r="L938" s="12">
        <v>1</v>
      </c>
      <c r="M938" s="8">
        <v>2015</v>
      </c>
      <c r="N938" s="9">
        <v>0</v>
      </c>
      <c r="O938" s="13">
        <v>41815</v>
      </c>
      <c r="P938" s="13">
        <v>41815</v>
      </c>
    </row>
    <row r="939" spans="1:16">
      <c r="A939" s="10">
        <v>2014</v>
      </c>
      <c r="B939" s="11" t="s">
        <v>483</v>
      </c>
      <c r="C939" s="11" t="s">
        <v>484</v>
      </c>
      <c r="D939" s="12">
        <v>1015042</v>
      </c>
      <c r="E939" s="12">
        <v>2</v>
      </c>
      <c r="F939" s="12"/>
      <c r="G939" s="12">
        <v>900</v>
      </c>
      <c r="H939" s="12">
        <v>14.3</v>
      </c>
      <c r="I939" s="12"/>
      <c r="J939" s="12" t="s">
        <v>129</v>
      </c>
      <c r="K939" s="12" t="b">
        <v>1</v>
      </c>
      <c r="L939" s="12">
        <v>8</v>
      </c>
      <c r="M939" s="8">
        <v>2022</v>
      </c>
      <c r="N939" s="9">
        <v>0</v>
      </c>
      <c r="O939" s="13">
        <v>41815</v>
      </c>
      <c r="P939" s="13">
        <v>41815</v>
      </c>
    </row>
    <row r="940" spans="1:16">
      <c r="A940" s="10">
        <v>2014</v>
      </c>
      <c r="B940" s="11" t="s">
        <v>483</v>
      </c>
      <c r="C940" s="11" t="s">
        <v>484</v>
      </c>
      <c r="D940" s="12">
        <v>1015042</v>
      </c>
      <c r="E940" s="12">
        <v>2</v>
      </c>
      <c r="F940" s="12"/>
      <c r="G940" s="12">
        <v>950</v>
      </c>
      <c r="H940" s="12">
        <v>15</v>
      </c>
      <c r="I940" s="12"/>
      <c r="J940" s="12" t="s">
        <v>411</v>
      </c>
      <c r="K940" s="12" t="b">
        <v>1</v>
      </c>
      <c r="L940" s="12">
        <v>0</v>
      </c>
      <c r="M940" s="8">
        <v>2014</v>
      </c>
      <c r="N940" s="9">
        <v>0</v>
      </c>
      <c r="O940" s="13">
        <v>41815</v>
      </c>
      <c r="P940" s="13">
        <v>41815</v>
      </c>
    </row>
    <row r="941" spans="1:16">
      <c r="A941" s="10">
        <v>2014</v>
      </c>
      <c r="B941" s="11" t="s">
        <v>483</v>
      </c>
      <c r="C941" s="11" t="s">
        <v>484</v>
      </c>
      <c r="D941" s="12">
        <v>1015042</v>
      </c>
      <c r="E941" s="12">
        <v>2</v>
      </c>
      <c r="F941" s="12"/>
      <c r="G941" s="12">
        <v>950</v>
      </c>
      <c r="H941" s="12">
        <v>15</v>
      </c>
      <c r="I941" s="12"/>
      <c r="J941" s="12" t="s">
        <v>411</v>
      </c>
      <c r="K941" s="12" t="b">
        <v>1</v>
      </c>
      <c r="L941" s="12">
        <v>1</v>
      </c>
      <c r="M941" s="8">
        <v>2015</v>
      </c>
      <c r="N941" s="9">
        <v>0</v>
      </c>
      <c r="O941" s="13">
        <v>41815</v>
      </c>
      <c r="P941" s="13">
        <v>41815</v>
      </c>
    </row>
    <row r="942" spans="1:16">
      <c r="A942" s="10">
        <v>2014</v>
      </c>
      <c r="B942" s="11" t="s">
        <v>483</v>
      </c>
      <c r="C942" s="11" t="s">
        <v>484</v>
      </c>
      <c r="D942" s="12">
        <v>1015042</v>
      </c>
      <c r="E942" s="12">
        <v>2</v>
      </c>
      <c r="F942" s="12"/>
      <c r="G942" s="12">
        <v>950</v>
      </c>
      <c r="H942" s="12">
        <v>15</v>
      </c>
      <c r="I942" s="12"/>
      <c r="J942" s="12" t="s">
        <v>411</v>
      </c>
      <c r="K942" s="12" t="b">
        <v>1</v>
      </c>
      <c r="L942" s="12">
        <v>4</v>
      </c>
      <c r="M942" s="8">
        <v>2018</v>
      </c>
      <c r="N942" s="9">
        <v>0</v>
      </c>
      <c r="O942" s="13">
        <v>41815</v>
      </c>
      <c r="P942" s="13">
        <v>41815</v>
      </c>
    </row>
    <row r="943" spans="1:16">
      <c r="A943" s="10">
        <v>2014</v>
      </c>
      <c r="B943" s="11" t="s">
        <v>483</v>
      </c>
      <c r="C943" s="11" t="s">
        <v>484</v>
      </c>
      <c r="D943" s="12">
        <v>1015042</v>
      </c>
      <c r="E943" s="12">
        <v>2</v>
      </c>
      <c r="F943" s="12"/>
      <c r="G943" s="12">
        <v>950</v>
      </c>
      <c r="H943" s="12">
        <v>15</v>
      </c>
      <c r="I943" s="12"/>
      <c r="J943" s="12" t="s">
        <v>411</v>
      </c>
      <c r="K943" s="12" t="b">
        <v>1</v>
      </c>
      <c r="L943" s="12">
        <v>5</v>
      </c>
      <c r="M943" s="8">
        <v>2019</v>
      </c>
      <c r="N943" s="9">
        <v>0</v>
      </c>
      <c r="O943" s="13">
        <v>41815</v>
      </c>
      <c r="P943" s="13">
        <v>41815</v>
      </c>
    </row>
    <row r="944" spans="1:16">
      <c r="A944" s="10">
        <v>2014</v>
      </c>
      <c r="B944" s="11" t="s">
        <v>483</v>
      </c>
      <c r="C944" s="11" t="s">
        <v>484</v>
      </c>
      <c r="D944" s="12">
        <v>1015042</v>
      </c>
      <c r="E944" s="12">
        <v>2</v>
      </c>
      <c r="F944" s="12"/>
      <c r="G944" s="12">
        <v>950</v>
      </c>
      <c r="H944" s="12">
        <v>15</v>
      </c>
      <c r="I944" s="12"/>
      <c r="J944" s="12" t="s">
        <v>411</v>
      </c>
      <c r="K944" s="12" t="b">
        <v>1</v>
      </c>
      <c r="L944" s="12">
        <v>6</v>
      </c>
      <c r="M944" s="8">
        <v>2020</v>
      </c>
      <c r="N944" s="9">
        <v>0</v>
      </c>
      <c r="O944" s="13">
        <v>41815</v>
      </c>
      <c r="P944" s="13">
        <v>41815</v>
      </c>
    </row>
    <row r="945" spans="1:16">
      <c r="A945" s="10">
        <v>2014</v>
      </c>
      <c r="B945" s="11" t="s">
        <v>483</v>
      </c>
      <c r="C945" s="11" t="s">
        <v>484</v>
      </c>
      <c r="D945" s="12">
        <v>1015042</v>
      </c>
      <c r="E945" s="12">
        <v>2</v>
      </c>
      <c r="F945" s="12"/>
      <c r="G945" s="12">
        <v>950</v>
      </c>
      <c r="H945" s="12">
        <v>15</v>
      </c>
      <c r="I945" s="12"/>
      <c r="J945" s="12" t="s">
        <v>411</v>
      </c>
      <c r="K945" s="12" t="b">
        <v>1</v>
      </c>
      <c r="L945" s="12">
        <v>7</v>
      </c>
      <c r="M945" s="8">
        <v>2021</v>
      </c>
      <c r="N945" s="9">
        <v>0</v>
      </c>
      <c r="O945" s="13">
        <v>41815</v>
      </c>
      <c r="P945" s="13">
        <v>41815</v>
      </c>
    </row>
    <row r="946" spans="1:16">
      <c r="A946" s="10">
        <v>2014</v>
      </c>
      <c r="B946" s="11" t="s">
        <v>483</v>
      </c>
      <c r="C946" s="11" t="s">
        <v>484</v>
      </c>
      <c r="D946" s="12">
        <v>1015042</v>
      </c>
      <c r="E946" s="12">
        <v>2</v>
      </c>
      <c r="F946" s="12"/>
      <c r="G946" s="12">
        <v>950</v>
      </c>
      <c r="H946" s="12">
        <v>15</v>
      </c>
      <c r="I946" s="12"/>
      <c r="J946" s="12" t="s">
        <v>411</v>
      </c>
      <c r="K946" s="12" t="b">
        <v>1</v>
      </c>
      <c r="L946" s="12">
        <v>2</v>
      </c>
      <c r="M946" s="8">
        <v>2016</v>
      </c>
      <c r="N946" s="9">
        <v>0</v>
      </c>
      <c r="O946" s="13">
        <v>41815</v>
      </c>
      <c r="P946" s="13">
        <v>41815</v>
      </c>
    </row>
    <row r="947" spans="1:16">
      <c r="A947" s="10">
        <v>2014</v>
      </c>
      <c r="B947" s="11" t="s">
        <v>483</v>
      </c>
      <c r="C947" s="11" t="s">
        <v>484</v>
      </c>
      <c r="D947" s="12">
        <v>1015042</v>
      </c>
      <c r="E947" s="12">
        <v>2</v>
      </c>
      <c r="F947" s="12"/>
      <c r="G947" s="12">
        <v>950</v>
      </c>
      <c r="H947" s="12">
        <v>15</v>
      </c>
      <c r="I947" s="12"/>
      <c r="J947" s="12" t="s">
        <v>411</v>
      </c>
      <c r="K947" s="12" t="b">
        <v>1</v>
      </c>
      <c r="L947" s="12">
        <v>8</v>
      </c>
      <c r="M947" s="8">
        <v>2022</v>
      </c>
      <c r="N947" s="9">
        <v>0</v>
      </c>
      <c r="O947" s="13">
        <v>41815</v>
      </c>
      <c r="P947" s="13">
        <v>41815</v>
      </c>
    </row>
    <row r="948" spans="1:16">
      <c r="A948" s="10">
        <v>2014</v>
      </c>
      <c r="B948" s="11" t="s">
        <v>483</v>
      </c>
      <c r="C948" s="11" t="s">
        <v>484</v>
      </c>
      <c r="D948" s="12">
        <v>1015042</v>
      </c>
      <c r="E948" s="12">
        <v>2</v>
      </c>
      <c r="F948" s="12"/>
      <c r="G948" s="12">
        <v>950</v>
      </c>
      <c r="H948" s="12">
        <v>15</v>
      </c>
      <c r="I948" s="12"/>
      <c r="J948" s="12" t="s">
        <v>411</v>
      </c>
      <c r="K948" s="12" t="b">
        <v>1</v>
      </c>
      <c r="L948" s="12">
        <v>3</v>
      </c>
      <c r="M948" s="8">
        <v>2017</v>
      </c>
      <c r="N948" s="9">
        <v>0</v>
      </c>
      <c r="O948" s="13">
        <v>41815</v>
      </c>
      <c r="P948" s="13">
        <v>41815</v>
      </c>
    </row>
  </sheetData>
  <customSheetViews>
    <customSheetView guid="{9360F695-77C0-4418-82C5-829A762C44E9}" state="hidden">
      <selection activeCell="G1" sqref="G1"/>
      <pageMargins left="0.7" right="0.7" top="0.75" bottom="0.75" header="0.3" footer="0.3"/>
      <pageSetup paperSize="9" orientation="portrait" horizontalDpi="4294967293" verticalDpi="0" r:id="rId1"/>
    </customSheetView>
  </customSheetViews>
  <phoneticPr fontId="0" type="noConversion"/>
  <pageMargins left="0.7" right="0.7" top="0.75" bottom="0.75" header="0.3" footer="0.3"/>
  <pageSetup paperSize="9" orientation="portrait" horizontalDpi="4294967293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S948"/>
  <sheetViews>
    <sheetView workbookViewId="0">
      <selection activeCell="S4" sqref="S4:S948"/>
    </sheetView>
  </sheetViews>
  <sheetFormatPr defaultRowHeight="14.25"/>
  <cols>
    <col min="1" max="1" width="9" style="15"/>
    <col min="2" max="2" width="12.5" style="15" customWidth="1"/>
    <col min="3" max="3" width="19.75" style="15" customWidth="1"/>
    <col min="4" max="6" width="9" style="15"/>
    <col min="7" max="7" width="6.25" style="15" customWidth="1"/>
    <col min="8" max="8" width="6.875" style="15" customWidth="1"/>
    <col min="9" max="9" width="11.25" style="15" customWidth="1"/>
    <col min="10" max="10" width="13.5" style="15" bestFit="1" customWidth="1"/>
    <col min="11" max="11" width="9" style="15"/>
    <col min="12" max="12" width="9" style="268"/>
    <col min="13" max="13" width="9" style="15"/>
    <col min="14" max="17" width="16.875" style="15" customWidth="1"/>
    <col min="18" max="16384" width="9" style="15"/>
  </cols>
  <sheetData>
    <row r="1" spans="1:19" ht="15">
      <c r="A1" s="3" t="s">
        <v>23</v>
      </c>
      <c r="M1" s="7" t="s">
        <v>26</v>
      </c>
      <c r="N1" s="14">
        <f>MIN(M:M)</f>
        <v>2014</v>
      </c>
      <c r="O1" s="14"/>
      <c r="P1" s="14"/>
      <c r="Q1" s="14"/>
    </row>
    <row r="3" spans="1:19" ht="15" thickBo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353</v>
      </c>
      <c r="M3" s="5" t="s">
        <v>13</v>
      </c>
      <c r="N3" s="5" t="s">
        <v>179</v>
      </c>
      <c r="O3" s="5" t="s">
        <v>180</v>
      </c>
      <c r="P3" s="5" t="s">
        <v>182</v>
      </c>
      <c r="Q3" s="5" t="s">
        <v>181</v>
      </c>
      <c r="R3" s="5" t="s">
        <v>17</v>
      </c>
      <c r="S3" s="5" t="s">
        <v>18</v>
      </c>
    </row>
    <row r="4" spans="1:19">
      <c r="A4" s="10">
        <v>2014</v>
      </c>
      <c r="B4" s="11" t="s">
        <v>483</v>
      </c>
      <c r="C4" s="11" t="s">
        <v>484</v>
      </c>
      <c r="D4" s="12">
        <v>1015042</v>
      </c>
      <c r="E4" s="12">
        <v>2</v>
      </c>
      <c r="F4" s="12"/>
      <c r="G4" s="12">
        <v>210</v>
      </c>
      <c r="H4" s="12">
        <v>4</v>
      </c>
      <c r="I4" s="12" t="s">
        <v>367</v>
      </c>
      <c r="J4" s="12" t="s">
        <v>22</v>
      </c>
      <c r="K4" s="12" t="b">
        <v>0</v>
      </c>
      <c r="L4" s="12">
        <v>8</v>
      </c>
      <c r="M4" s="8">
        <v>2022</v>
      </c>
      <c r="N4" s="9">
        <v>2377720.4</v>
      </c>
      <c r="O4" s="9">
        <v>268964.28000000003</v>
      </c>
      <c r="P4" s="9">
        <v>1680058</v>
      </c>
      <c r="Q4" s="9">
        <v>1521991.78</v>
      </c>
      <c r="R4" s="13">
        <v>41815</v>
      </c>
      <c r="S4" s="13">
        <v>41815</v>
      </c>
    </row>
    <row r="5" spans="1:19">
      <c r="A5" s="10">
        <v>2014</v>
      </c>
      <c r="B5" s="11" t="s">
        <v>483</v>
      </c>
      <c r="C5" s="11" t="s">
        <v>484</v>
      </c>
      <c r="D5" s="12">
        <v>1015042</v>
      </c>
      <c r="E5" s="12">
        <v>2</v>
      </c>
      <c r="F5" s="12"/>
      <c r="G5" s="12">
        <v>210</v>
      </c>
      <c r="H5" s="12">
        <v>4</v>
      </c>
      <c r="I5" s="12" t="s">
        <v>367</v>
      </c>
      <c r="J5" s="12" t="s">
        <v>22</v>
      </c>
      <c r="K5" s="12" t="b">
        <v>0</v>
      </c>
      <c r="L5" s="12">
        <v>7</v>
      </c>
      <c r="M5" s="8">
        <v>2021</v>
      </c>
      <c r="N5" s="9">
        <v>2377720.4</v>
      </c>
      <c r="O5" s="9">
        <v>268964.28000000003</v>
      </c>
      <c r="P5" s="9">
        <v>1680058</v>
      </c>
      <c r="Q5" s="9">
        <v>1521991.78</v>
      </c>
      <c r="R5" s="13">
        <v>41815</v>
      </c>
      <c r="S5" s="13">
        <v>41815</v>
      </c>
    </row>
    <row r="6" spans="1:19">
      <c r="A6" s="10">
        <v>2014</v>
      </c>
      <c r="B6" s="11" t="s">
        <v>483</v>
      </c>
      <c r="C6" s="11" t="s">
        <v>484</v>
      </c>
      <c r="D6" s="12">
        <v>1015042</v>
      </c>
      <c r="E6" s="12">
        <v>2</v>
      </c>
      <c r="F6" s="12"/>
      <c r="G6" s="12">
        <v>210</v>
      </c>
      <c r="H6" s="12">
        <v>4</v>
      </c>
      <c r="I6" s="12" t="s">
        <v>367</v>
      </c>
      <c r="J6" s="12" t="s">
        <v>22</v>
      </c>
      <c r="K6" s="12" t="b">
        <v>0</v>
      </c>
      <c r="L6" s="12">
        <v>3</v>
      </c>
      <c r="M6" s="8">
        <v>2017</v>
      </c>
      <c r="N6" s="9">
        <v>2377720.4</v>
      </c>
      <c r="O6" s="9">
        <v>268964.28000000003</v>
      </c>
      <c r="P6" s="9">
        <v>1680058</v>
      </c>
      <c r="Q6" s="9">
        <v>1521991.78</v>
      </c>
      <c r="R6" s="13">
        <v>41815</v>
      </c>
      <c r="S6" s="13">
        <v>41815</v>
      </c>
    </row>
    <row r="7" spans="1:19">
      <c r="A7" s="10">
        <v>2014</v>
      </c>
      <c r="B7" s="11" t="s">
        <v>483</v>
      </c>
      <c r="C7" s="11" t="s">
        <v>484</v>
      </c>
      <c r="D7" s="12">
        <v>1015042</v>
      </c>
      <c r="E7" s="12">
        <v>2</v>
      </c>
      <c r="F7" s="12"/>
      <c r="G7" s="12">
        <v>210</v>
      </c>
      <c r="H7" s="12">
        <v>4</v>
      </c>
      <c r="I7" s="12" t="s">
        <v>367</v>
      </c>
      <c r="J7" s="12" t="s">
        <v>22</v>
      </c>
      <c r="K7" s="12" t="b">
        <v>0</v>
      </c>
      <c r="L7" s="12">
        <v>2</v>
      </c>
      <c r="M7" s="8">
        <v>2016</v>
      </c>
      <c r="N7" s="9">
        <v>2377720.4</v>
      </c>
      <c r="O7" s="9">
        <v>268964.28000000003</v>
      </c>
      <c r="P7" s="9">
        <v>1680058</v>
      </c>
      <c r="Q7" s="9">
        <v>1521991.78</v>
      </c>
      <c r="R7" s="13">
        <v>41815</v>
      </c>
      <c r="S7" s="13">
        <v>41815</v>
      </c>
    </row>
    <row r="8" spans="1:19">
      <c r="A8" s="10">
        <v>2014</v>
      </c>
      <c r="B8" s="11" t="s">
        <v>483</v>
      </c>
      <c r="C8" s="11" t="s">
        <v>484</v>
      </c>
      <c r="D8" s="12">
        <v>1015042</v>
      </c>
      <c r="E8" s="12">
        <v>2</v>
      </c>
      <c r="F8" s="12"/>
      <c r="G8" s="12">
        <v>210</v>
      </c>
      <c r="H8" s="12">
        <v>4</v>
      </c>
      <c r="I8" s="12" t="s">
        <v>367</v>
      </c>
      <c r="J8" s="12" t="s">
        <v>22</v>
      </c>
      <c r="K8" s="12" t="b">
        <v>0</v>
      </c>
      <c r="L8" s="12">
        <v>6</v>
      </c>
      <c r="M8" s="8">
        <v>2020</v>
      </c>
      <c r="N8" s="9">
        <v>2377720.4</v>
      </c>
      <c r="O8" s="9">
        <v>268964.28000000003</v>
      </c>
      <c r="P8" s="9">
        <v>1680058</v>
      </c>
      <c r="Q8" s="9">
        <v>1521991.78</v>
      </c>
      <c r="R8" s="13">
        <v>41815</v>
      </c>
      <c r="S8" s="13">
        <v>41815</v>
      </c>
    </row>
    <row r="9" spans="1:19">
      <c r="A9" s="10">
        <v>2014</v>
      </c>
      <c r="B9" s="11" t="s">
        <v>483</v>
      </c>
      <c r="C9" s="11" t="s">
        <v>484</v>
      </c>
      <c r="D9" s="12">
        <v>1015042</v>
      </c>
      <c r="E9" s="12">
        <v>2</v>
      </c>
      <c r="F9" s="12"/>
      <c r="G9" s="12">
        <v>210</v>
      </c>
      <c r="H9" s="12">
        <v>4</v>
      </c>
      <c r="I9" s="12" t="s">
        <v>367</v>
      </c>
      <c r="J9" s="12" t="s">
        <v>22</v>
      </c>
      <c r="K9" s="12" t="b">
        <v>0</v>
      </c>
      <c r="L9" s="12">
        <v>1</v>
      </c>
      <c r="M9" s="8">
        <v>2015</v>
      </c>
      <c r="N9" s="9">
        <v>2377720.4</v>
      </c>
      <c r="O9" s="9">
        <v>268964.28000000003</v>
      </c>
      <c r="P9" s="9">
        <v>1680058</v>
      </c>
      <c r="Q9" s="9">
        <v>1521991.78</v>
      </c>
      <c r="R9" s="13">
        <v>41815</v>
      </c>
      <c r="S9" s="13">
        <v>41815</v>
      </c>
    </row>
    <row r="10" spans="1:19">
      <c r="A10" s="10">
        <v>2014</v>
      </c>
      <c r="B10" s="11" t="s">
        <v>483</v>
      </c>
      <c r="C10" s="11" t="s">
        <v>484</v>
      </c>
      <c r="D10" s="12">
        <v>1015042</v>
      </c>
      <c r="E10" s="12">
        <v>2</v>
      </c>
      <c r="F10" s="12"/>
      <c r="G10" s="12">
        <v>210</v>
      </c>
      <c r="H10" s="12">
        <v>4</v>
      </c>
      <c r="I10" s="12" t="s">
        <v>367</v>
      </c>
      <c r="J10" s="12" t="s">
        <v>22</v>
      </c>
      <c r="K10" s="12" t="b">
        <v>0</v>
      </c>
      <c r="L10" s="12">
        <v>4</v>
      </c>
      <c r="M10" s="8">
        <v>2018</v>
      </c>
      <c r="N10" s="9">
        <v>2377720.4</v>
      </c>
      <c r="O10" s="9">
        <v>268964.28000000003</v>
      </c>
      <c r="P10" s="9">
        <v>1680058</v>
      </c>
      <c r="Q10" s="9">
        <v>1521991.78</v>
      </c>
      <c r="R10" s="13">
        <v>41815</v>
      </c>
      <c r="S10" s="13">
        <v>41815</v>
      </c>
    </row>
    <row r="11" spans="1:19">
      <c r="A11" s="10">
        <v>2014</v>
      </c>
      <c r="B11" s="11" t="s">
        <v>483</v>
      </c>
      <c r="C11" s="11" t="s">
        <v>484</v>
      </c>
      <c r="D11" s="12">
        <v>1015042</v>
      </c>
      <c r="E11" s="12">
        <v>2</v>
      </c>
      <c r="F11" s="12"/>
      <c r="G11" s="12">
        <v>210</v>
      </c>
      <c r="H11" s="12">
        <v>4</v>
      </c>
      <c r="I11" s="12" t="s">
        <v>367</v>
      </c>
      <c r="J11" s="12" t="s">
        <v>22</v>
      </c>
      <c r="K11" s="12" t="b">
        <v>0</v>
      </c>
      <c r="L11" s="12">
        <v>0</v>
      </c>
      <c r="M11" s="8">
        <v>2014</v>
      </c>
      <c r="N11" s="9">
        <v>2377720.4</v>
      </c>
      <c r="O11" s="9">
        <v>268964.28000000003</v>
      </c>
      <c r="P11" s="9">
        <v>1680058</v>
      </c>
      <c r="Q11" s="9">
        <v>1521991.78</v>
      </c>
      <c r="R11" s="13">
        <v>41815</v>
      </c>
      <c r="S11" s="13">
        <v>41815</v>
      </c>
    </row>
    <row r="12" spans="1:19">
      <c r="A12" s="10">
        <v>2014</v>
      </c>
      <c r="B12" s="11" t="s">
        <v>483</v>
      </c>
      <c r="C12" s="11" t="s">
        <v>484</v>
      </c>
      <c r="D12" s="12">
        <v>1015042</v>
      </c>
      <c r="E12" s="12">
        <v>2</v>
      </c>
      <c r="F12" s="12"/>
      <c r="G12" s="12">
        <v>210</v>
      </c>
      <c r="H12" s="12">
        <v>4</v>
      </c>
      <c r="I12" s="12" t="s">
        <v>367</v>
      </c>
      <c r="J12" s="12" t="s">
        <v>22</v>
      </c>
      <c r="K12" s="12" t="b">
        <v>0</v>
      </c>
      <c r="L12" s="12">
        <v>5</v>
      </c>
      <c r="M12" s="8">
        <v>2019</v>
      </c>
      <c r="N12" s="9">
        <v>2377720.4</v>
      </c>
      <c r="O12" s="9">
        <v>268964.28000000003</v>
      </c>
      <c r="P12" s="9">
        <v>1680058</v>
      </c>
      <c r="Q12" s="9">
        <v>1521991.78</v>
      </c>
      <c r="R12" s="13">
        <v>41815</v>
      </c>
      <c r="S12" s="13">
        <v>41815</v>
      </c>
    </row>
    <row r="13" spans="1:19">
      <c r="A13" s="10">
        <v>2014</v>
      </c>
      <c r="B13" s="11" t="s">
        <v>483</v>
      </c>
      <c r="C13" s="11" t="s">
        <v>484</v>
      </c>
      <c r="D13" s="12">
        <v>1015042</v>
      </c>
      <c r="E13" s="12">
        <v>2</v>
      </c>
      <c r="F13" s="12"/>
      <c r="G13" s="12">
        <v>740</v>
      </c>
      <c r="H13" s="12" t="s">
        <v>109</v>
      </c>
      <c r="I13" s="12"/>
      <c r="J13" s="12" t="s">
        <v>110</v>
      </c>
      <c r="K13" s="12" t="b">
        <v>0</v>
      </c>
      <c r="L13" s="12">
        <v>8</v>
      </c>
      <c r="M13" s="8">
        <v>2022</v>
      </c>
      <c r="N13" s="9">
        <v>183596.95</v>
      </c>
      <c r="O13" s="9">
        <v>17085</v>
      </c>
      <c r="P13" s="9">
        <v>8415</v>
      </c>
      <c r="Q13" s="9">
        <v>8415</v>
      </c>
      <c r="R13" s="13">
        <v>41815</v>
      </c>
      <c r="S13" s="13">
        <v>41815</v>
      </c>
    </row>
    <row r="14" spans="1:19">
      <c r="A14" s="10">
        <v>2014</v>
      </c>
      <c r="B14" s="11" t="s">
        <v>483</v>
      </c>
      <c r="C14" s="11" t="s">
        <v>484</v>
      </c>
      <c r="D14" s="12">
        <v>1015042</v>
      </c>
      <c r="E14" s="12">
        <v>2</v>
      </c>
      <c r="F14" s="12"/>
      <c r="G14" s="12">
        <v>740</v>
      </c>
      <c r="H14" s="12" t="s">
        <v>109</v>
      </c>
      <c r="I14" s="12"/>
      <c r="J14" s="12" t="s">
        <v>110</v>
      </c>
      <c r="K14" s="12" t="b">
        <v>0</v>
      </c>
      <c r="L14" s="12">
        <v>1</v>
      </c>
      <c r="M14" s="8">
        <v>2015</v>
      </c>
      <c r="N14" s="9">
        <v>183596.95</v>
      </c>
      <c r="O14" s="9">
        <v>17085</v>
      </c>
      <c r="P14" s="9">
        <v>8415</v>
      </c>
      <c r="Q14" s="9">
        <v>8415</v>
      </c>
      <c r="R14" s="13">
        <v>41815</v>
      </c>
      <c r="S14" s="13">
        <v>41815</v>
      </c>
    </row>
    <row r="15" spans="1:19">
      <c r="A15" s="10">
        <v>2014</v>
      </c>
      <c r="B15" s="11" t="s">
        <v>483</v>
      </c>
      <c r="C15" s="11" t="s">
        <v>484</v>
      </c>
      <c r="D15" s="12">
        <v>1015042</v>
      </c>
      <c r="E15" s="12">
        <v>2</v>
      </c>
      <c r="F15" s="12"/>
      <c r="G15" s="12">
        <v>740</v>
      </c>
      <c r="H15" s="12" t="s">
        <v>109</v>
      </c>
      <c r="I15" s="12"/>
      <c r="J15" s="12" t="s">
        <v>110</v>
      </c>
      <c r="K15" s="12" t="b">
        <v>0</v>
      </c>
      <c r="L15" s="12">
        <v>5</v>
      </c>
      <c r="M15" s="8">
        <v>2019</v>
      </c>
      <c r="N15" s="9">
        <v>183596.95</v>
      </c>
      <c r="O15" s="9">
        <v>17085</v>
      </c>
      <c r="P15" s="9">
        <v>8415</v>
      </c>
      <c r="Q15" s="9">
        <v>8415</v>
      </c>
      <c r="R15" s="13">
        <v>41815</v>
      </c>
      <c r="S15" s="13">
        <v>41815</v>
      </c>
    </row>
    <row r="16" spans="1:19">
      <c r="A16" s="10">
        <v>2014</v>
      </c>
      <c r="B16" s="11" t="s">
        <v>483</v>
      </c>
      <c r="C16" s="11" t="s">
        <v>484</v>
      </c>
      <c r="D16" s="12">
        <v>1015042</v>
      </c>
      <c r="E16" s="12">
        <v>2</v>
      </c>
      <c r="F16" s="12"/>
      <c r="G16" s="12">
        <v>740</v>
      </c>
      <c r="H16" s="12" t="s">
        <v>109</v>
      </c>
      <c r="I16" s="12"/>
      <c r="J16" s="12" t="s">
        <v>110</v>
      </c>
      <c r="K16" s="12" t="b">
        <v>0</v>
      </c>
      <c r="L16" s="12">
        <v>6</v>
      </c>
      <c r="M16" s="8">
        <v>2020</v>
      </c>
      <c r="N16" s="9">
        <v>183596.95</v>
      </c>
      <c r="O16" s="9">
        <v>17085</v>
      </c>
      <c r="P16" s="9">
        <v>8415</v>
      </c>
      <c r="Q16" s="9">
        <v>8415</v>
      </c>
      <c r="R16" s="13">
        <v>41815</v>
      </c>
      <c r="S16" s="13">
        <v>41815</v>
      </c>
    </row>
    <row r="17" spans="1:19">
      <c r="A17" s="10">
        <v>2014</v>
      </c>
      <c r="B17" s="11" t="s">
        <v>483</v>
      </c>
      <c r="C17" s="11" t="s">
        <v>484</v>
      </c>
      <c r="D17" s="12">
        <v>1015042</v>
      </c>
      <c r="E17" s="12">
        <v>2</v>
      </c>
      <c r="F17" s="12"/>
      <c r="G17" s="12">
        <v>740</v>
      </c>
      <c r="H17" s="12" t="s">
        <v>109</v>
      </c>
      <c r="I17" s="12"/>
      <c r="J17" s="12" t="s">
        <v>110</v>
      </c>
      <c r="K17" s="12" t="b">
        <v>0</v>
      </c>
      <c r="L17" s="12">
        <v>7</v>
      </c>
      <c r="M17" s="8">
        <v>2021</v>
      </c>
      <c r="N17" s="9">
        <v>183596.95</v>
      </c>
      <c r="O17" s="9">
        <v>17085</v>
      </c>
      <c r="P17" s="9">
        <v>8415</v>
      </c>
      <c r="Q17" s="9">
        <v>8415</v>
      </c>
      <c r="R17" s="13">
        <v>41815</v>
      </c>
      <c r="S17" s="13">
        <v>41815</v>
      </c>
    </row>
    <row r="18" spans="1:19">
      <c r="A18" s="10">
        <v>2014</v>
      </c>
      <c r="B18" s="11" t="s">
        <v>483</v>
      </c>
      <c r="C18" s="11" t="s">
        <v>484</v>
      </c>
      <c r="D18" s="12">
        <v>1015042</v>
      </c>
      <c r="E18" s="12">
        <v>2</v>
      </c>
      <c r="F18" s="12"/>
      <c r="G18" s="12">
        <v>740</v>
      </c>
      <c r="H18" s="12" t="s">
        <v>109</v>
      </c>
      <c r="I18" s="12"/>
      <c r="J18" s="12" t="s">
        <v>110</v>
      </c>
      <c r="K18" s="12" t="b">
        <v>0</v>
      </c>
      <c r="L18" s="12">
        <v>4</v>
      </c>
      <c r="M18" s="8">
        <v>2018</v>
      </c>
      <c r="N18" s="9">
        <v>183596.95</v>
      </c>
      <c r="O18" s="9">
        <v>17085</v>
      </c>
      <c r="P18" s="9">
        <v>8415</v>
      </c>
      <c r="Q18" s="9">
        <v>8415</v>
      </c>
      <c r="R18" s="13">
        <v>41815</v>
      </c>
      <c r="S18" s="13">
        <v>41815</v>
      </c>
    </row>
    <row r="19" spans="1:19">
      <c r="A19" s="10">
        <v>2014</v>
      </c>
      <c r="B19" s="11" t="s">
        <v>483</v>
      </c>
      <c r="C19" s="11" t="s">
        <v>484</v>
      </c>
      <c r="D19" s="12">
        <v>1015042</v>
      </c>
      <c r="E19" s="12">
        <v>2</v>
      </c>
      <c r="F19" s="12"/>
      <c r="G19" s="12">
        <v>740</v>
      </c>
      <c r="H19" s="12" t="s">
        <v>109</v>
      </c>
      <c r="I19" s="12"/>
      <c r="J19" s="12" t="s">
        <v>110</v>
      </c>
      <c r="K19" s="12" t="b">
        <v>0</v>
      </c>
      <c r="L19" s="12">
        <v>0</v>
      </c>
      <c r="M19" s="8">
        <v>2014</v>
      </c>
      <c r="N19" s="9">
        <v>183596.95</v>
      </c>
      <c r="O19" s="9">
        <v>17085</v>
      </c>
      <c r="P19" s="9">
        <v>8415</v>
      </c>
      <c r="Q19" s="9">
        <v>8415</v>
      </c>
      <c r="R19" s="13">
        <v>41815</v>
      </c>
      <c r="S19" s="13">
        <v>41815</v>
      </c>
    </row>
    <row r="20" spans="1:19">
      <c r="A20" s="10">
        <v>2014</v>
      </c>
      <c r="B20" s="11" t="s">
        <v>483</v>
      </c>
      <c r="C20" s="11" t="s">
        <v>484</v>
      </c>
      <c r="D20" s="12">
        <v>1015042</v>
      </c>
      <c r="E20" s="12">
        <v>2</v>
      </c>
      <c r="F20" s="12"/>
      <c r="G20" s="12">
        <v>740</v>
      </c>
      <c r="H20" s="12" t="s">
        <v>109</v>
      </c>
      <c r="I20" s="12"/>
      <c r="J20" s="12" t="s">
        <v>110</v>
      </c>
      <c r="K20" s="12" t="b">
        <v>0</v>
      </c>
      <c r="L20" s="12">
        <v>3</v>
      </c>
      <c r="M20" s="8">
        <v>2017</v>
      </c>
      <c r="N20" s="9">
        <v>183596.95</v>
      </c>
      <c r="O20" s="9">
        <v>17085</v>
      </c>
      <c r="P20" s="9">
        <v>8415</v>
      </c>
      <c r="Q20" s="9">
        <v>8415</v>
      </c>
      <c r="R20" s="13">
        <v>41815</v>
      </c>
      <c r="S20" s="13">
        <v>41815</v>
      </c>
    </row>
    <row r="21" spans="1:19">
      <c r="A21" s="10">
        <v>2014</v>
      </c>
      <c r="B21" s="11" t="s">
        <v>483</v>
      </c>
      <c r="C21" s="11" t="s">
        <v>484</v>
      </c>
      <c r="D21" s="12">
        <v>1015042</v>
      </c>
      <c r="E21" s="12">
        <v>2</v>
      </c>
      <c r="F21" s="12"/>
      <c r="G21" s="12">
        <v>740</v>
      </c>
      <c r="H21" s="12" t="s">
        <v>109</v>
      </c>
      <c r="I21" s="12"/>
      <c r="J21" s="12" t="s">
        <v>110</v>
      </c>
      <c r="K21" s="12" t="b">
        <v>0</v>
      </c>
      <c r="L21" s="12">
        <v>2</v>
      </c>
      <c r="M21" s="8">
        <v>2016</v>
      </c>
      <c r="N21" s="9">
        <v>183596.95</v>
      </c>
      <c r="O21" s="9">
        <v>17085</v>
      </c>
      <c r="P21" s="9">
        <v>8415</v>
      </c>
      <c r="Q21" s="9">
        <v>8415</v>
      </c>
      <c r="R21" s="13">
        <v>41815</v>
      </c>
      <c r="S21" s="13">
        <v>41815</v>
      </c>
    </row>
    <row r="22" spans="1:19">
      <c r="A22" s="10">
        <v>2014</v>
      </c>
      <c r="B22" s="11" t="s">
        <v>483</v>
      </c>
      <c r="C22" s="11" t="s">
        <v>484</v>
      </c>
      <c r="D22" s="12">
        <v>1015042</v>
      </c>
      <c r="E22" s="12">
        <v>2</v>
      </c>
      <c r="F22" s="12"/>
      <c r="G22" s="12">
        <v>850</v>
      </c>
      <c r="H22" s="12">
        <v>13.6</v>
      </c>
      <c r="I22" s="12"/>
      <c r="J22" s="12" t="s">
        <v>124</v>
      </c>
      <c r="K22" s="12" t="b">
        <v>1</v>
      </c>
      <c r="L22" s="12">
        <v>4</v>
      </c>
      <c r="M22" s="8">
        <v>2018</v>
      </c>
      <c r="N22" s="9">
        <v>0</v>
      </c>
      <c r="O22" s="9">
        <v>0</v>
      </c>
      <c r="P22" s="9">
        <v>0</v>
      </c>
      <c r="Q22" s="9">
        <v>0</v>
      </c>
      <c r="R22" s="13">
        <v>41815</v>
      </c>
      <c r="S22" s="13">
        <v>41815</v>
      </c>
    </row>
    <row r="23" spans="1:19">
      <c r="A23" s="10">
        <v>2014</v>
      </c>
      <c r="B23" s="11" t="s">
        <v>483</v>
      </c>
      <c r="C23" s="11" t="s">
        <v>484</v>
      </c>
      <c r="D23" s="12">
        <v>1015042</v>
      </c>
      <c r="E23" s="12">
        <v>2</v>
      </c>
      <c r="F23" s="12"/>
      <c r="G23" s="12">
        <v>850</v>
      </c>
      <c r="H23" s="12">
        <v>13.6</v>
      </c>
      <c r="I23" s="12"/>
      <c r="J23" s="12" t="s">
        <v>124</v>
      </c>
      <c r="K23" s="12" t="b">
        <v>1</v>
      </c>
      <c r="L23" s="12">
        <v>1</v>
      </c>
      <c r="M23" s="8">
        <v>2015</v>
      </c>
      <c r="N23" s="9">
        <v>0</v>
      </c>
      <c r="O23" s="9">
        <v>0</v>
      </c>
      <c r="P23" s="9">
        <v>0</v>
      </c>
      <c r="Q23" s="9">
        <v>0</v>
      </c>
      <c r="R23" s="13">
        <v>41815</v>
      </c>
      <c r="S23" s="13">
        <v>41815</v>
      </c>
    </row>
    <row r="24" spans="1:19">
      <c r="A24" s="10">
        <v>2014</v>
      </c>
      <c r="B24" s="11" t="s">
        <v>483</v>
      </c>
      <c r="C24" s="11" t="s">
        <v>484</v>
      </c>
      <c r="D24" s="12">
        <v>1015042</v>
      </c>
      <c r="E24" s="12">
        <v>2</v>
      </c>
      <c r="F24" s="12"/>
      <c r="G24" s="12">
        <v>850</v>
      </c>
      <c r="H24" s="12">
        <v>13.6</v>
      </c>
      <c r="I24" s="12"/>
      <c r="J24" s="12" t="s">
        <v>124</v>
      </c>
      <c r="K24" s="12" t="b">
        <v>1</v>
      </c>
      <c r="L24" s="12">
        <v>6</v>
      </c>
      <c r="M24" s="8">
        <v>2020</v>
      </c>
      <c r="N24" s="9">
        <v>0</v>
      </c>
      <c r="O24" s="9">
        <v>0</v>
      </c>
      <c r="P24" s="9">
        <v>0</v>
      </c>
      <c r="Q24" s="9">
        <v>0</v>
      </c>
      <c r="R24" s="13">
        <v>41815</v>
      </c>
      <c r="S24" s="13">
        <v>41815</v>
      </c>
    </row>
    <row r="25" spans="1:19">
      <c r="A25" s="10">
        <v>2014</v>
      </c>
      <c r="B25" s="11" t="s">
        <v>483</v>
      </c>
      <c r="C25" s="11" t="s">
        <v>484</v>
      </c>
      <c r="D25" s="12">
        <v>1015042</v>
      </c>
      <c r="E25" s="12">
        <v>2</v>
      </c>
      <c r="F25" s="12"/>
      <c r="G25" s="12">
        <v>850</v>
      </c>
      <c r="H25" s="12">
        <v>13.6</v>
      </c>
      <c r="I25" s="12"/>
      <c r="J25" s="12" t="s">
        <v>124</v>
      </c>
      <c r="K25" s="12" t="b">
        <v>1</v>
      </c>
      <c r="L25" s="12">
        <v>0</v>
      </c>
      <c r="M25" s="8">
        <v>2014</v>
      </c>
      <c r="N25" s="9">
        <v>0</v>
      </c>
      <c r="O25" s="9">
        <v>0</v>
      </c>
      <c r="P25" s="9">
        <v>0</v>
      </c>
      <c r="Q25" s="9">
        <v>0</v>
      </c>
      <c r="R25" s="13">
        <v>41815</v>
      </c>
      <c r="S25" s="13">
        <v>41815</v>
      </c>
    </row>
    <row r="26" spans="1:19">
      <c r="A26" s="10">
        <v>2014</v>
      </c>
      <c r="B26" s="11" t="s">
        <v>483</v>
      </c>
      <c r="C26" s="11" t="s">
        <v>484</v>
      </c>
      <c r="D26" s="12">
        <v>1015042</v>
      </c>
      <c r="E26" s="12">
        <v>2</v>
      </c>
      <c r="F26" s="12"/>
      <c r="G26" s="12">
        <v>850</v>
      </c>
      <c r="H26" s="12">
        <v>13.6</v>
      </c>
      <c r="I26" s="12"/>
      <c r="J26" s="12" t="s">
        <v>124</v>
      </c>
      <c r="K26" s="12" t="b">
        <v>1</v>
      </c>
      <c r="L26" s="12">
        <v>2</v>
      </c>
      <c r="M26" s="8">
        <v>2016</v>
      </c>
      <c r="N26" s="9">
        <v>0</v>
      </c>
      <c r="O26" s="9">
        <v>0</v>
      </c>
      <c r="P26" s="9">
        <v>0</v>
      </c>
      <c r="Q26" s="9">
        <v>0</v>
      </c>
      <c r="R26" s="13">
        <v>41815</v>
      </c>
      <c r="S26" s="13">
        <v>41815</v>
      </c>
    </row>
    <row r="27" spans="1:19">
      <c r="A27" s="10">
        <v>2014</v>
      </c>
      <c r="B27" s="11" t="s">
        <v>483</v>
      </c>
      <c r="C27" s="11" t="s">
        <v>484</v>
      </c>
      <c r="D27" s="12">
        <v>1015042</v>
      </c>
      <c r="E27" s="12">
        <v>2</v>
      </c>
      <c r="F27" s="12"/>
      <c r="G27" s="12">
        <v>850</v>
      </c>
      <c r="H27" s="12">
        <v>13.6</v>
      </c>
      <c r="I27" s="12"/>
      <c r="J27" s="12" t="s">
        <v>124</v>
      </c>
      <c r="K27" s="12" t="b">
        <v>1</v>
      </c>
      <c r="L27" s="12">
        <v>5</v>
      </c>
      <c r="M27" s="8">
        <v>2019</v>
      </c>
      <c r="N27" s="9">
        <v>0</v>
      </c>
      <c r="O27" s="9">
        <v>0</v>
      </c>
      <c r="P27" s="9">
        <v>0</v>
      </c>
      <c r="Q27" s="9">
        <v>0</v>
      </c>
      <c r="R27" s="13">
        <v>41815</v>
      </c>
      <c r="S27" s="13">
        <v>41815</v>
      </c>
    </row>
    <row r="28" spans="1:19">
      <c r="A28" s="10">
        <v>2014</v>
      </c>
      <c r="B28" s="11" t="s">
        <v>483</v>
      </c>
      <c r="C28" s="11" t="s">
        <v>484</v>
      </c>
      <c r="D28" s="12">
        <v>1015042</v>
      </c>
      <c r="E28" s="12">
        <v>2</v>
      </c>
      <c r="F28" s="12"/>
      <c r="G28" s="12">
        <v>850</v>
      </c>
      <c r="H28" s="12">
        <v>13.6</v>
      </c>
      <c r="I28" s="12"/>
      <c r="J28" s="12" t="s">
        <v>124</v>
      </c>
      <c r="K28" s="12" t="b">
        <v>1</v>
      </c>
      <c r="L28" s="12">
        <v>8</v>
      </c>
      <c r="M28" s="8">
        <v>2022</v>
      </c>
      <c r="N28" s="9">
        <v>0</v>
      </c>
      <c r="O28" s="9">
        <v>0</v>
      </c>
      <c r="P28" s="9">
        <v>0</v>
      </c>
      <c r="Q28" s="9">
        <v>0</v>
      </c>
      <c r="R28" s="13">
        <v>41815</v>
      </c>
      <c r="S28" s="13">
        <v>41815</v>
      </c>
    </row>
    <row r="29" spans="1:19">
      <c r="A29" s="10">
        <v>2014</v>
      </c>
      <c r="B29" s="11" t="s">
        <v>483</v>
      </c>
      <c r="C29" s="11" t="s">
        <v>484</v>
      </c>
      <c r="D29" s="12">
        <v>1015042</v>
      </c>
      <c r="E29" s="12">
        <v>2</v>
      </c>
      <c r="F29" s="12"/>
      <c r="G29" s="12">
        <v>850</v>
      </c>
      <c r="H29" s="12">
        <v>13.6</v>
      </c>
      <c r="I29" s="12"/>
      <c r="J29" s="12" t="s">
        <v>124</v>
      </c>
      <c r="K29" s="12" t="b">
        <v>1</v>
      </c>
      <c r="L29" s="12">
        <v>7</v>
      </c>
      <c r="M29" s="8">
        <v>2021</v>
      </c>
      <c r="N29" s="9">
        <v>0</v>
      </c>
      <c r="O29" s="9">
        <v>0</v>
      </c>
      <c r="P29" s="9">
        <v>0</v>
      </c>
      <c r="Q29" s="9">
        <v>0</v>
      </c>
      <c r="R29" s="13">
        <v>41815</v>
      </c>
      <c r="S29" s="13">
        <v>41815</v>
      </c>
    </row>
    <row r="30" spans="1:19">
      <c r="A30" s="10">
        <v>2014</v>
      </c>
      <c r="B30" s="11" t="s">
        <v>483</v>
      </c>
      <c r="C30" s="11" t="s">
        <v>484</v>
      </c>
      <c r="D30" s="12">
        <v>1015042</v>
      </c>
      <c r="E30" s="12">
        <v>2</v>
      </c>
      <c r="F30" s="12"/>
      <c r="G30" s="12">
        <v>850</v>
      </c>
      <c r="H30" s="12">
        <v>13.6</v>
      </c>
      <c r="I30" s="12"/>
      <c r="J30" s="12" t="s">
        <v>124</v>
      </c>
      <c r="K30" s="12" t="b">
        <v>1</v>
      </c>
      <c r="L30" s="12">
        <v>3</v>
      </c>
      <c r="M30" s="8">
        <v>2017</v>
      </c>
      <c r="N30" s="9">
        <v>0</v>
      </c>
      <c r="O30" s="9">
        <v>0</v>
      </c>
      <c r="P30" s="9">
        <v>0</v>
      </c>
      <c r="Q30" s="9">
        <v>0</v>
      </c>
      <c r="R30" s="13">
        <v>41815</v>
      </c>
      <c r="S30" s="13">
        <v>41815</v>
      </c>
    </row>
    <row r="31" spans="1:19">
      <c r="A31" s="10">
        <v>2014</v>
      </c>
      <c r="B31" s="11" t="s">
        <v>483</v>
      </c>
      <c r="C31" s="11" t="s">
        <v>484</v>
      </c>
      <c r="D31" s="12">
        <v>1015042</v>
      </c>
      <c r="E31" s="12">
        <v>2</v>
      </c>
      <c r="F31" s="12"/>
      <c r="G31" s="12">
        <v>970</v>
      </c>
      <c r="H31" s="12" t="s">
        <v>414</v>
      </c>
      <c r="I31" s="12"/>
      <c r="J31" s="12" t="s">
        <v>415</v>
      </c>
      <c r="K31" s="12" t="b">
        <v>1</v>
      </c>
      <c r="L31" s="12">
        <v>2</v>
      </c>
      <c r="M31" s="8">
        <v>2016</v>
      </c>
      <c r="N31" s="9">
        <v>0</v>
      </c>
      <c r="O31" s="9">
        <v>0</v>
      </c>
      <c r="P31" s="9">
        <v>0</v>
      </c>
      <c r="Q31" s="9">
        <v>0</v>
      </c>
      <c r="R31" s="13">
        <v>41815</v>
      </c>
      <c r="S31" s="13">
        <v>41815</v>
      </c>
    </row>
    <row r="32" spans="1:19">
      <c r="A32" s="10">
        <v>2014</v>
      </c>
      <c r="B32" s="11" t="s">
        <v>483</v>
      </c>
      <c r="C32" s="11" t="s">
        <v>484</v>
      </c>
      <c r="D32" s="12">
        <v>1015042</v>
      </c>
      <c r="E32" s="12">
        <v>2</v>
      </c>
      <c r="F32" s="12"/>
      <c r="G32" s="12">
        <v>970</v>
      </c>
      <c r="H32" s="12" t="s">
        <v>414</v>
      </c>
      <c r="I32" s="12"/>
      <c r="J32" s="12" t="s">
        <v>415</v>
      </c>
      <c r="K32" s="12" t="b">
        <v>1</v>
      </c>
      <c r="L32" s="12">
        <v>6</v>
      </c>
      <c r="M32" s="8">
        <v>2020</v>
      </c>
      <c r="N32" s="9">
        <v>0</v>
      </c>
      <c r="O32" s="9">
        <v>0</v>
      </c>
      <c r="P32" s="9">
        <v>0</v>
      </c>
      <c r="Q32" s="9">
        <v>0</v>
      </c>
      <c r="R32" s="13">
        <v>41815</v>
      </c>
      <c r="S32" s="13">
        <v>41815</v>
      </c>
    </row>
    <row r="33" spans="1:19">
      <c r="A33" s="10">
        <v>2014</v>
      </c>
      <c r="B33" s="11" t="s">
        <v>483</v>
      </c>
      <c r="C33" s="11" t="s">
        <v>484</v>
      </c>
      <c r="D33" s="12">
        <v>1015042</v>
      </c>
      <c r="E33" s="12">
        <v>2</v>
      </c>
      <c r="F33" s="12"/>
      <c r="G33" s="12">
        <v>970</v>
      </c>
      <c r="H33" s="12" t="s">
        <v>414</v>
      </c>
      <c r="I33" s="12"/>
      <c r="J33" s="12" t="s">
        <v>415</v>
      </c>
      <c r="K33" s="12" t="b">
        <v>1</v>
      </c>
      <c r="L33" s="12">
        <v>0</v>
      </c>
      <c r="M33" s="8">
        <v>2014</v>
      </c>
      <c r="N33" s="9">
        <v>0</v>
      </c>
      <c r="O33" s="9">
        <v>0</v>
      </c>
      <c r="P33" s="9">
        <v>0</v>
      </c>
      <c r="Q33" s="9">
        <v>0</v>
      </c>
      <c r="R33" s="13">
        <v>41815</v>
      </c>
      <c r="S33" s="13">
        <v>41815</v>
      </c>
    </row>
    <row r="34" spans="1:19">
      <c r="A34" s="10">
        <v>2014</v>
      </c>
      <c r="B34" s="11" t="s">
        <v>483</v>
      </c>
      <c r="C34" s="11" t="s">
        <v>484</v>
      </c>
      <c r="D34" s="12">
        <v>1015042</v>
      </c>
      <c r="E34" s="12">
        <v>2</v>
      </c>
      <c r="F34" s="12"/>
      <c r="G34" s="12">
        <v>970</v>
      </c>
      <c r="H34" s="12" t="s">
        <v>414</v>
      </c>
      <c r="I34" s="12"/>
      <c r="J34" s="12" t="s">
        <v>415</v>
      </c>
      <c r="K34" s="12" t="b">
        <v>1</v>
      </c>
      <c r="L34" s="12">
        <v>8</v>
      </c>
      <c r="M34" s="8">
        <v>2022</v>
      </c>
      <c r="N34" s="9">
        <v>0</v>
      </c>
      <c r="O34" s="9">
        <v>0</v>
      </c>
      <c r="P34" s="9">
        <v>0</v>
      </c>
      <c r="Q34" s="9">
        <v>0</v>
      </c>
      <c r="R34" s="13">
        <v>41815</v>
      </c>
      <c r="S34" s="13">
        <v>41815</v>
      </c>
    </row>
    <row r="35" spans="1:19">
      <c r="A35" s="10">
        <v>2014</v>
      </c>
      <c r="B35" s="11" t="s">
        <v>483</v>
      </c>
      <c r="C35" s="11" t="s">
        <v>484</v>
      </c>
      <c r="D35" s="12">
        <v>1015042</v>
      </c>
      <c r="E35" s="12">
        <v>2</v>
      </c>
      <c r="F35" s="12"/>
      <c r="G35" s="12">
        <v>970</v>
      </c>
      <c r="H35" s="12" t="s">
        <v>414</v>
      </c>
      <c r="I35" s="12"/>
      <c r="J35" s="12" t="s">
        <v>415</v>
      </c>
      <c r="K35" s="12" t="b">
        <v>1</v>
      </c>
      <c r="L35" s="12">
        <v>7</v>
      </c>
      <c r="M35" s="8">
        <v>2021</v>
      </c>
      <c r="N35" s="9">
        <v>0</v>
      </c>
      <c r="O35" s="9">
        <v>0</v>
      </c>
      <c r="P35" s="9">
        <v>0</v>
      </c>
      <c r="Q35" s="9">
        <v>0</v>
      </c>
      <c r="R35" s="13">
        <v>41815</v>
      </c>
      <c r="S35" s="13">
        <v>41815</v>
      </c>
    </row>
    <row r="36" spans="1:19">
      <c r="A36" s="10">
        <v>2014</v>
      </c>
      <c r="B36" s="11" t="s">
        <v>483</v>
      </c>
      <c r="C36" s="11" t="s">
        <v>484</v>
      </c>
      <c r="D36" s="12">
        <v>1015042</v>
      </c>
      <c r="E36" s="12">
        <v>2</v>
      </c>
      <c r="F36" s="12"/>
      <c r="G36" s="12">
        <v>970</v>
      </c>
      <c r="H36" s="12" t="s">
        <v>414</v>
      </c>
      <c r="I36" s="12"/>
      <c r="J36" s="12" t="s">
        <v>415</v>
      </c>
      <c r="K36" s="12" t="b">
        <v>1</v>
      </c>
      <c r="L36" s="12">
        <v>5</v>
      </c>
      <c r="M36" s="8">
        <v>2019</v>
      </c>
      <c r="N36" s="9">
        <v>0</v>
      </c>
      <c r="O36" s="9">
        <v>0</v>
      </c>
      <c r="P36" s="9">
        <v>0</v>
      </c>
      <c r="Q36" s="9">
        <v>0</v>
      </c>
      <c r="R36" s="13">
        <v>41815</v>
      </c>
      <c r="S36" s="13">
        <v>41815</v>
      </c>
    </row>
    <row r="37" spans="1:19">
      <c r="A37" s="10">
        <v>2014</v>
      </c>
      <c r="B37" s="11" t="s">
        <v>483</v>
      </c>
      <c r="C37" s="11" t="s">
        <v>484</v>
      </c>
      <c r="D37" s="12">
        <v>1015042</v>
      </c>
      <c r="E37" s="12">
        <v>2</v>
      </c>
      <c r="F37" s="12"/>
      <c r="G37" s="12">
        <v>970</v>
      </c>
      <c r="H37" s="12" t="s">
        <v>414</v>
      </c>
      <c r="I37" s="12"/>
      <c r="J37" s="12" t="s">
        <v>415</v>
      </c>
      <c r="K37" s="12" t="b">
        <v>1</v>
      </c>
      <c r="L37" s="12">
        <v>4</v>
      </c>
      <c r="M37" s="8">
        <v>2018</v>
      </c>
      <c r="N37" s="9">
        <v>0</v>
      </c>
      <c r="O37" s="9">
        <v>0</v>
      </c>
      <c r="P37" s="9">
        <v>0</v>
      </c>
      <c r="Q37" s="9">
        <v>0</v>
      </c>
      <c r="R37" s="13">
        <v>41815</v>
      </c>
      <c r="S37" s="13">
        <v>41815</v>
      </c>
    </row>
    <row r="38" spans="1:19">
      <c r="A38" s="10">
        <v>2014</v>
      </c>
      <c r="B38" s="11" t="s">
        <v>483</v>
      </c>
      <c r="C38" s="11" t="s">
        <v>484</v>
      </c>
      <c r="D38" s="12">
        <v>1015042</v>
      </c>
      <c r="E38" s="12">
        <v>2</v>
      </c>
      <c r="F38" s="12"/>
      <c r="G38" s="12">
        <v>970</v>
      </c>
      <c r="H38" s="12" t="s">
        <v>414</v>
      </c>
      <c r="I38" s="12"/>
      <c r="J38" s="12" t="s">
        <v>415</v>
      </c>
      <c r="K38" s="12" t="b">
        <v>1</v>
      </c>
      <c r="L38" s="12">
        <v>3</v>
      </c>
      <c r="M38" s="8">
        <v>2017</v>
      </c>
      <c r="N38" s="9">
        <v>0</v>
      </c>
      <c r="O38" s="9">
        <v>0</v>
      </c>
      <c r="P38" s="9">
        <v>0</v>
      </c>
      <c r="Q38" s="9">
        <v>0</v>
      </c>
      <c r="R38" s="13">
        <v>41815</v>
      </c>
      <c r="S38" s="13">
        <v>41815</v>
      </c>
    </row>
    <row r="39" spans="1:19">
      <c r="A39" s="10">
        <v>2014</v>
      </c>
      <c r="B39" s="11" t="s">
        <v>483</v>
      </c>
      <c r="C39" s="11" t="s">
        <v>484</v>
      </c>
      <c r="D39" s="12">
        <v>1015042</v>
      </c>
      <c r="E39" s="12">
        <v>2</v>
      </c>
      <c r="F39" s="12"/>
      <c r="G39" s="12">
        <v>970</v>
      </c>
      <c r="H39" s="12" t="s">
        <v>414</v>
      </c>
      <c r="I39" s="12"/>
      <c r="J39" s="12" t="s">
        <v>415</v>
      </c>
      <c r="K39" s="12" t="b">
        <v>1</v>
      </c>
      <c r="L39" s="12">
        <v>1</v>
      </c>
      <c r="M39" s="8">
        <v>2015</v>
      </c>
      <c r="N39" s="9">
        <v>0</v>
      </c>
      <c r="O39" s="9">
        <v>0</v>
      </c>
      <c r="P39" s="9">
        <v>0</v>
      </c>
      <c r="Q39" s="9">
        <v>0</v>
      </c>
      <c r="R39" s="13">
        <v>41815</v>
      </c>
      <c r="S39" s="13">
        <v>41815</v>
      </c>
    </row>
    <row r="40" spans="1:19">
      <c r="A40" s="10">
        <v>2014</v>
      </c>
      <c r="B40" s="11" t="s">
        <v>483</v>
      </c>
      <c r="C40" s="11" t="s">
        <v>484</v>
      </c>
      <c r="D40" s="12">
        <v>1015042</v>
      </c>
      <c r="E40" s="12">
        <v>2</v>
      </c>
      <c r="F40" s="12"/>
      <c r="G40" s="12">
        <v>200</v>
      </c>
      <c r="H40" s="12">
        <v>3</v>
      </c>
      <c r="I40" s="12" t="s">
        <v>366</v>
      </c>
      <c r="J40" s="12" t="s">
        <v>21</v>
      </c>
      <c r="K40" s="12" t="b">
        <v>0</v>
      </c>
      <c r="L40" s="12">
        <v>0</v>
      </c>
      <c r="M40" s="8">
        <v>2014</v>
      </c>
      <c r="N40" s="9">
        <v>-1103430.48</v>
      </c>
      <c r="O40" s="9">
        <v>1089474.43</v>
      </c>
      <c r="P40" s="9">
        <v>-1343107</v>
      </c>
      <c r="Q40" s="9">
        <v>-918912.71</v>
      </c>
      <c r="R40" s="13">
        <v>41815</v>
      </c>
      <c r="S40" s="13">
        <v>41815</v>
      </c>
    </row>
    <row r="41" spans="1:19">
      <c r="A41" s="10">
        <v>2014</v>
      </c>
      <c r="B41" s="11" t="s">
        <v>483</v>
      </c>
      <c r="C41" s="11" t="s">
        <v>484</v>
      </c>
      <c r="D41" s="12">
        <v>1015042</v>
      </c>
      <c r="E41" s="12">
        <v>2</v>
      </c>
      <c r="F41" s="12"/>
      <c r="G41" s="12">
        <v>200</v>
      </c>
      <c r="H41" s="12">
        <v>3</v>
      </c>
      <c r="I41" s="12" t="s">
        <v>366</v>
      </c>
      <c r="J41" s="12" t="s">
        <v>21</v>
      </c>
      <c r="K41" s="12" t="b">
        <v>0</v>
      </c>
      <c r="L41" s="12">
        <v>1</v>
      </c>
      <c r="M41" s="8">
        <v>2015</v>
      </c>
      <c r="N41" s="9">
        <v>-1103430.48</v>
      </c>
      <c r="O41" s="9">
        <v>1089474.43</v>
      </c>
      <c r="P41" s="9">
        <v>-1343107</v>
      </c>
      <c r="Q41" s="9">
        <v>-918912.71</v>
      </c>
      <c r="R41" s="13">
        <v>41815</v>
      </c>
      <c r="S41" s="13">
        <v>41815</v>
      </c>
    </row>
    <row r="42" spans="1:19">
      <c r="A42" s="10">
        <v>2014</v>
      </c>
      <c r="B42" s="11" t="s">
        <v>483</v>
      </c>
      <c r="C42" s="11" t="s">
        <v>484</v>
      </c>
      <c r="D42" s="12">
        <v>1015042</v>
      </c>
      <c r="E42" s="12">
        <v>2</v>
      </c>
      <c r="F42" s="12"/>
      <c r="G42" s="12">
        <v>200</v>
      </c>
      <c r="H42" s="12">
        <v>3</v>
      </c>
      <c r="I42" s="12" t="s">
        <v>366</v>
      </c>
      <c r="J42" s="12" t="s">
        <v>21</v>
      </c>
      <c r="K42" s="12" t="b">
        <v>0</v>
      </c>
      <c r="L42" s="12">
        <v>6</v>
      </c>
      <c r="M42" s="8">
        <v>2020</v>
      </c>
      <c r="N42" s="9">
        <v>-1103430.48</v>
      </c>
      <c r="O42" s="9">
        <v>1089474.43</v>
      </c>
      <c r="P42" s="9">
        <v>-1343107</v>
      </c>
      <c r="Q42" s="9">
        <v>-918912.71</v>
      </c>
      <c r="R42" s="13">
        <v>41815</v>
      </c>
      <c r="S42" s="13">
        <v>41815</v>
      </c>
    </row>
    <row r="43" spans="1:19">
      <c r="A43" s="10">
        <v>2014</v>
      </c>
      <c r="B43" s="11" t="s">
        <v>483</v>
      </c>
      <c r="C43" s="11" t="s">
        <v>484</v>
      </c>
      <c r="D43" s="12">
        <v>1015042</v>
      </c>
      <c r="E43" s="12">
        <v>2</v>
      </c>
      <c r="F43" s="12"/>
      <c r="G43" s="12">
        <v>200</v>
      </c>
      <c r="H43" s="12">
        <v>3</v>
      </c>
      <c r="I43" s="12" t="s">
        <v>366</v>
      </c>
      <c r="J43" s="12" t="s">
        <v>21</v>
      </c>
      <c r="K43" s="12" t="b">
        <v>0</v>
      </c>
      <c r="L43" s="12">
        <v>8</v>
      </c>
      <c r="M43" s="8">
        <v>2022</v>
      </c>
      <c r="N43" s="9">
        <v>-1103430.48</v>
      </c>
      <c r="O43" s="9">
        <v>1089474.43</v>
      </c>
      <c r="P43" s="9">
        <v>-1343107</v>
      </c>
      <c r="Q43" s="9">
        <v>-918912.71</v>
      </c>
      <c r="R43" s="13">
        <v>41815</v>
      </c>
      <c r="S43" s="13">
        <v>41815</v>
      </c>
    </row>
    <row r="44" spans="1:19">
      <c r="A44" s="10">
        <v>2014</v>
      </c>
      <c r="B44" s="11" t="s">
        <v>483</v>
      </c>
      <c r="C44" s="11" t="s">
        <v>484</v>
      </c>
      <c r="D44" s="12">
        <v>1015042</v>
      </c>
      <c r="E44" s="12">
        <v>2</v>
      </c>
      <c r="F44" s="12"/>
      <c r="G44" s="12">
        <v>200</v>
      </c>
      <c r="H44" s="12">
        <v>3</v>
      </c>
      <c r="I44" s="12" t="s">
        <v>366</v>
      </c>
      <c r="J44" s="12" t="s">
        <v>21</v>
      </c>
      <c r="K44" s="12" t="b">
        <v>0</v>
      </c>
      <c r="L44" s="12">
        <v>5</v>
      </c>
      <c r="M44" s="8">
        <v>2019</v>
      </c>
      <c r="N44" s="9">
        <v>-1103430.48</v>
      </c>
      <c r="O44" s="9">
        <v>1089474.43</v>
      </c>
      <c r="P44" s="9">
        <v>-1343107</v>
      </c>
      <c r="Q44" s="9">
        <v>-918912.71</v>
      </c>
      <c r="R44" s="13">
        <v>41815</v>
      </c>
      <c r="S44" s="13">
        <v>41815</v>
      </c>
    </row>
    <row r="45" spans="1:19">
      <c r="A45" s="10">
        <v>2014</v>
      </c>
      <c r="B45" s="11" t="s">
        <v>483</v>
      </c>
      <c r="C45" s="11" t="s">
        <v>484</v>
      </c>
      <c r="D45" s="12">
        <v>1015042</v>
      </c>
      <c r="E45" s="12">
        <v>2</v>
      </c>
      <c r="F45" s="12"/>
      <c r="G45" s="12">
        <v>200</v>
      </c>
      <c r="H45" s="12">
        <v>3</v>
      </c>
      <c r="I45" s="12" t="s">
        <v>366</v>
      </c>
      <c r="J45" s="12" t="s">
        <v>21</v>
      </c>
      <c r="K45" s="12" t="b">
        <v>0</v>
      </c>
      <c r="L45" s="12">
        <v>7</v>
      </c>
      <c r="M45" s="8">
        <v>2021</v>
      </c>
      <c r="N45" s="9">
        <v>-1103430.48</v>
      </c>
      <c r="O45" s="9">
        <v>1089474.43</v>
      </c>
      <c r="P45" s="9">
        <v>-1343107</v>
      </c>
      <c r="Q45" s="9">
        <v>-918912.71</v>
      </c>
      <c r="R45" s="13">
        <v>41815</v>
      </c>
      <c r="S45" s="13">
        <v>41815</v>
      </c>
    </row>
    <row r="46" spans="1:19">
      <c r="A46" s="10">
        <v>2014</v>
      </c>
      <c r="B46" s="11" t="s">
        <v>483</v>
      </c>
      <c r="C46" s="11" t="s">
        <v>484</v>
      </c>
      <c r="D46" s="12">
        <v>1015042</v>
      </c>
      <c r="E46" s="12">
        <v>2</v>
      </c>
      <c r="F46" s="12"/>
      <c r="G46" s="12">
        <v>200</v>
      </c>
      <c r="H46" s="12">
        <v>3</v>
      </c>
      <c r="I46" s="12" t="s">
        <v>366</v>
      </c>
      <c r="J46" s="12" t="s">
        <v>21</v>
      </c>
      <c r="K46" s="12" t="b">
        <v>0</v>
      </c>
      <c r="L46" s="12">
        <v>4</v>
      </c>
      <c r="M46" s="8">
        <v>2018</v>
      </c>
      <c r="N46" s="9">
        <v>-1103430.48</v>
      </c>
      <c r="O46" s="9">
        <v>1089474.43</v>
      </c>
      <c r="P46" s="9">
        <v>-1343107</v>
      </c>
      <c r="Q46" s="9">
        <v>-918912.71</v>
      </c>
      <c r="R46" s="13">
        <v>41815</v>
      </c>
      <c r="S46" s="13">
        <v>41815</v>
      </c>
    </row>
    <row r="47" spans="1:19">
      <c r="A47" s="10">
        <v>2014</v>
      </c>
      <c r="B47" s="11" t="s">
        <v>483</v>
      </c>
      <c r="C47" s="11" t="s">
        <v>484</v>
      </c>
      <c r="D47" s="12">
        <v>1015042</v>
      </c>
      <c r="E47" s="12">
        <v>2</v>
      </c>
      <c r="F47" s="12"/>
      <c r="G47" s="12">
        <v>200</v>
      </c>
      <c r="H47" s="12">
        <v>3</v>
      </c>
      <c r="I47" s="12" t="s">
        <v>366</v>
      </c>
      <c r="J47" s="12" t="s">
        <v>21</v>
      </c>
      <c r="K47" s="12" t="b">
        <v>0</v>
      </c>
      <c r="L47" s="12">
        <v>2</v>
      </c>
      <c r="M47" s="8">
        <v>2016</v>
      </c>
      <c r="N47" s="9">
        <v>-1103430.48</v>
      </c>
      <c r="O47" s="9">
        <v>1089474.43</v>
      </c>
      <c r="P47" s="9">
        <v>-1343107</v>
      </c>
      <c r="Q47" s="9">
        <v>-918912.71</v>
      </c>
      <c r="R47" s="13">
        <v>41815</v>
      </c>
      <c r="S47" s="13">
        <v>41815</v>
      </c>
    </row>
    <row r="48" spans="1:19">
      <c r="A48" s="10">
        <v>2014</v>
      </c>
      <c r="B48" s="11" t="s">
        <v>483</v>
      </c>
      <c r="C48" s="11" t="s">
        <v>484</v>
      </c>
      <c r="D48" s="12">
        <v>1015042</v>
      </c>
      <c r="E48" s="12">
        <v>2</v>
      </c>
      <c r="F48" s="12"/>
      <c r="G48" s="12">
        <v>200</v>
      </c>
      <c r="H48" s="12">
        <v>3</v>
      </c>
      <c r="I48" s="12" t="s">
        <v>366</v>
      </c>
      <c r="J48" s="12" t="s">
        <v>21</v>
      </c>
      <c r="K48" s="12" t="b">
        <v>0</v>
      </c>
      <c r="L48" s="12">
        <v>3</v>
      </c>
      <c r="M48" s="8">
        <v>2017</v>
      </c>
      <c r="N48" s="9">
        <v>-1103430.48</v>
      </c>
      <c r="O48" s="9">
        <v>1089474.43</v>
      </c>
      <c r="P48" s="9">
        <v>-1343107</v>
      </c>
      <c r="Q48" s="9">
        <v>-918912.71</v>
      </c>
      <c r="R48" s="13">
        <v>41815</v>
      </c>
      <c r="S48" s="13">
        <v>41815</v>
      </c>
    </row>
    <row r="49" spans="1:19">
      <c r="A49" s="10">
        <v>2014</v>
      </c>
      <c r="B49" s="11" t="s">
        <v>483</v>
      </c>
      <c r="C49" s="11" t="s">
        <v>484</v>
      </c>
      <c r="D49" s="12">
        <v>1015042</v>
      </c>
      <c r="E49" s="12">
        <v>2</v>
      </c>
      <c r="F49" s="12"/>
      <c r="G49" s="12">
        <v>550</v>
      </c>
      <c r="H49" s="12">
        <v>10</v>
      </c>
      <c r="I49" s="12"/>
      <c r="J49" s="12" t="s">
        <v>85</v>
      </c>
      <c r="K49" s="12" t="b">
        <v>0</v>
      </c>
      <c r="L49" s="12">
        <v>2</v>
      </c>
      <c r="M49" s="8">
        <v>2016</v>
      </c>
      <c r="N49" s="9">
        <v>0</v>
      </c>
      <c r="O49" s="9">
        <v>0</v>
      </c>
      <c r="P49" s="9">
        <v>0</v>
      </c>
      <c r="Q49" s="9">
        <v>0</v>
      </c>
      <c r="R49" s="13">
        <v>41815</v>
      </c>
      <c r="S49" s="13">
        <v>41815</v>
      </c>
    </row>
    <row r="50" spans="1:19">
      <c r="A50" s="10">
        <v>2014</v>
      </c>
      <c r="B50" s="11" t="s">
        <v>483</v>
      </c>
      <c r="C50" s="11" t="s">
        <v>484</v>
      </c>
      <c r="D50" s="12">
        <v>1015042</v>
      </c>
      <c r="E50" s="12">
        <v>2</v>
      </c>
      <c r="F50" s="12"/>
      <c r="G50" s="12">
        <v>550</v>
      </c>
      <c r="H50" s="12">
        <v>10</v>
      </c>
      <c r="I50" s="12"/>
      <c r="J50" s="12" t="s">
        <v>85</v>
      </c>
      <c r="K50" s="12" t="b">
        <v>0</v>
      </c>
      <c r="L50" s="12">
        <v>6</v>
      </c>
      <c r="M50" s="8">
        <v>2020</v>
      </c>
      <c r="N50" s="9">
        <v>0</v>
      </c>
      <c r="O50" s="9">
        <v>0</v>
      </c>
      <c r="P50" s="9">
        <v>0</v>
      </c>
      <c r="Q50" s="9">
        <v>0</v>
      </c>
      <c r="R50" s="13">
        <v>41815</v>
      </c>
      <c r="S50" s="13">
        <v>41815</v>
      </c>
    </row>
    <row r="51" spans="1:19">
      <c r="A51" s="10">
        <v>2014</v>
      </c>
      <c r="B51" s="11" t="s">
        <v>483</v>
      </c>
      <c r="C51" s="11" t="s">
        <v>484</v>
      </c>
      <c r="D51" s="12">
        <v>1015042</v>
      </c>
      <c r="E51" s="12">
        <v>2</v>
      </c>
      <c r="F51" s="12"/>
      <c r="G51" s="12">
        <v>550</v>
      </c>
      <c r="H51" s="12">
        <v>10</v>
      </c>
      <c r="I51" s="12"/>
      <c r="J51" s="12" t="s">
        <v>85</v>
      </c>
      <c r="K51" s="12" t="b">
        <v>0</v>
      </c>
      <c r="L51" s="12">
        <v>0</v>
      </c>
      <c r="M51" s="8">
        <v>2014</v>
      </c>
      <c r="N51" s="9">
        <v>0</v>
      </c>
      <c r="O51" s="9">
        <v>0</v>
      </c>
      <c r="P51" s="9">
        <v>0</v>
      </c>
      <c r="Q51" s="9">
        <v>0</v>
      </c>
      <c r="R51" s="13">
        <v>41815</v>
      </c>
      <c r="S51" s="13">
        <v>41815</v>
      </c>
    </row>
    <row r="52" spans="1:19">
      <c r="A52" s="10">
        <v>2014</v>
      </c>
      <c r="B52" s="11" t="s">
        <v>483</v>
      </c>
      <c r="C52" s="11" t="s">
        <v>484</v>
      </c>
      <c r="D52" s="12">
        <v>1015042</v>
      </c>
      <c r="E52" s="12">
        <v>2</v>
      </c>
      <c r="F52" s="12"/>
      <c r="G52" s="12">
        <v>550</v>
      </c>
      <c r="H52" s="12">
        <v>10</v>
      </c>
      <c r="I52" s="12"/>
      <c r="J52" s="12" t="s">
        <v>85</v>
      </c>
      <c r="K52" s="12" t="b">
        <v>0</v>
      </c>
      <c r="L52" s="12">
        <v>1</v>
      </c>
      <c r="M52" s="8">
        <v>2015</v>
      </c>
      <c r="N52" s="9">
        <v>0</v>
      </c>
      <c r="O52" s="9">
        <v>0</v>
      </c>
      <c r="P52" s="9">
        <v>0</v>
      </c>
      <c r="Q52" s="9">
        <v>0</v>
      </c>
      <c r="R52" s="13">
        <v>41815</v>
      </c>
      <c r="S52" s="13">
        <v>41815</v>
      </c>
    </row>
    <row r="53" spans="1:19">
      <c r="A53" s="10">
        <v>2014</v>
      </c>
      <c r="B53" s="11" t="s">
        <v>483</v>
      </c>
      <c r="C53" s="11" t="s">
        <v>484</v>
      </c>
      <c r="D53" s="12">
        <v>1015042</v>
      </c>
      <c r="E53" s="12">
        <v>2</v>
      </c>
      <c r="F53" s="12"/>
      <c r="G53" s="12">
        <v>550</v>
      </c>
      <c r="H53" s="12">
        <v>10</v>
      </c>
      <c r="I53" s="12"/>
      <c r="J53" s="12" t="s">
        <v>85</v>
      </c>
      <c r="K53" s="12" t="b">
        <v>0</v>
      </c>
      <c r="L53" s="12">
        <v>3</v>
      </c>
      <c r="M53" s="8">
        <v>2017</v>
      </c>
      <c r="N53" s="9">
        <v>0</v>
      </c>
      <c r="O53" s="9">
        <v>0</v>
      </c>
      <c r="P53" s="9">
        <v>0</v>
      </c>
      <c r="Q53" s="9">
        <v>0</v>
      </c>
      <c r="R53" s="13">
        <v>41815</v>
      </c>
      <c r="S53" s="13">
        <v>41815</v>
      </c>
    </row>
    <row r="54" spans="1:19">
      <c r="A54" s="10">
        <v>2014</v>
      </c>
      <c r="B54" s="11" t="s">
        <v>483</v>
      </c>
      <c r="C54" s="11" t="s">
        <v>484</v>
      </c>
      <c r="D54" s="12">
        <v>1015042</v>
      </c>
      <c r="E54" s="12">
        <v>2</v>
      </c>
      <c r="F54" s="12"/>
      <c r="G54" s="12">
        <v>550</v>
      </c>
      <c r="H54" s="12">
        <v>10</v>
      </c>
      <c r="I54" s="12"/>
      <c r="J54" s="12" t="s">
        <v>85</v>
      </c>
      <c r="K54" s="12" t="b">
        <v>0</v>
      </c>
      <c r="L54" s="12">
        <v>7</v>
      </c>
      <c r="M54" s="8">
        <v>2021</v>
      </c>
      <c r="N54" s="9">
        <v>0</v>
      </c>
      <c r="O54" s="9">
        <v>0</v>
      </c>
      <c r="P54" s="9">
        <v>0</v>
      </c>
      <c r="Q54" s="9">
        <v>0</v>
      </c>
      <c r="R54" s="13">
        <v>41815</v>
      </c>
      <c r="S54" s="13">
        <v>41815</v>
      </c>
    </row>
    <row r="55" spans="1:19">
      <c r="A55" s="10">
        <v>2014</v>
      </c>
      <c r="B55" s="11" t="s">
        <v>483</v>
      </c>
      <c r="C55" s="11" t="s">
        <v>484</v>
      </c>
      <c r="D55" s="12">
        <v>1015042</v>
      </c>
      <c r="E55" s="12">
        <v>2</v>
      </c>
      <c r="F55" s="12"/>
      <c r="G55" s="12">
        <v>550</v>
      </c>
      <c r="H55" s="12">
        <v>10</v>
      </c>
      <c r="I55" s="12"/>
      <c r="J55" s="12" t="s">
        <v>85</v>
      </c>
      <c r="K55" s="12" t="b">
        <v>0</v>
      </c>
      <c r="L55" s="12">
        <v>8</v>
      </c>
      <c r="M55" s="8">
        <v>2022</v>
      </c>
      <c r="N55" s="9">
        <v>0</v>
      </c>
      <c r="O55" s="9">
        <v>0</v>
      </c>
      <c r="P55" s="9">
        <v>0</v>
      </c>
      <c r="Q55" s="9">
        <v>0</v>
      </c>
      <c r="R55" s="13">
        <v>41815</v>
      </c>
      <c r="S55" s="13">
        <v>41815</v>
      </c>
    </row>
    <row r="56" spans="1:19">
      <c r="A56" s="10">
        <v>2014</v>
      </c>
      <c r="B56" s="11" t="s">
        <v>483</v>
      </c>
      <c r="C56" s="11" t="s">
        <v>484</v>
      </c>
      <c r="D56" s="12">
        <v>1015042</v>
      </c>
      <c r="E56" s="12">
        <v>2</v>
      </c>
      <c r="F56" s="12"/>
      <c r="G56" s="12">
        <v>550</v>
      </c>
      <c r="H56" s="12">
        <v>10</v>
      </c>
      <c r="I56" s="12"/>
      <c r="J56" s="12" t="s">
        <v>85</v>
      </c>
      <c r="K56" s="12" t="b">
        <v>0</v>
      </c>
      <c r="L56" s="12">
        <v>5</v>
      </c>
      <c r="M56" s="8">
        <v>2019</v>
      </c>
      <c r="N56" s="9">
        <v>0</v>
      </c>
      <c r="O56" s="9">
        <v>0</v>
      </c>
      <c r="P56" s="9">
        <v>0</v>
      </c>
      <c r="Q56" s="9">
        <v>0</v>
      </c>
      <c r="R56" s="13">
        <v>41815</v>
      </c>
      <c r="S56" s="13">
        <v>41815</v>
      </c>
    </row>
    <row r="57" spans="1:19">
      <c r="A57" s="10">
        <v>2014</v>
      </c>
      <c r="B57" s="11" t="s">
        <v>483</v>
      </c>
      <c r="C57" s="11" t="s">
        <v>484</v>
      </c>
      <c r="D57" s="12">
        <v>1015042</v>
      </c>
      <c r="E57" s="12">
        <v>2</v>
      </c>
      <c r="F57" s="12"/>
      <c r="G57" s="12">
        <v>550</v>
      </c>
      <c r="H57" s="12">
        <v>10</v>
      </c>
      <c r="I57" s="12"/>
      <c r="J57" s="12" t="s">
        <v>85</v>
      </c>
      <c r="K57" s="12" t="b">
        <v>0</v>
      </c>
      <c r="L57" s="12">
        <v>4</v>
      </c>
      <c r="M57" s="8">
        <v>2018</v>
      </c>
      <c r="N57" s="9">
        <v>0</v>
      </c>
      <c r="O57" s="9">
        <v>0</v>
      </c>
      <c r="P57" s="9">
        <v>0</v>
      </c>
      <c r="Q57" s="9">
        <v>0</v>
      </c>
      <c r="R57" s="13">
        <v>41815</v>
      </c>
      <c r="S57" s="13">
        <v>41815</v>
      </c>
    </row>
    <row r="58" spans="1:19">
      <c r="A58" s="10">
        <v>2014</v>
      </c>
      <c r="B58" s="11" t="s">
        <v>483</v>
      </c>
      <c r="C58" s="11" t="s">
        <v>484</v>
      </c>
      <c r="D58" s="12">
        <v>1015042</v>
      </c>
      <c r="E58" s="12">
        <v>2</v>
      </c>
      <c r="F58" s="12"/>
      <c r="G58" s="12">
        <v>730</v>
      </c>
      <c r="H58" s="12">
        <v>12.3</v>
      </c>
      <c r="I58" s="12"/>
      <c r="J58" s="12" t="s">
        <v>108</v>
      </c>
      <c r="K58" s="12" t="b">
        <v>0</v>
      </c>
      <c r="L58" s="12">
        <v>8</v>
      </c>
      <c r="M58" s="8">
        <v>2022</v>
      </c>
      <c r="N58" s="9">
        <v>215996.41</v>
      </c>
      <c r="O58" s="9">
        <v>20100</v>
      </c>
      <c r="P58" s="9">
        <v>9900</v>
      </c>
      <c r="Q58" s="9">
        <v>9900</v>
      </c>
      <c r="R58" s="13">
        <v>41815</v>
      </c>
      <c r="S58" s="13">
        <v>41815</v>
      </c>
    </row>
    <row r="59" spans="1:19">
      <c r="A59" s="10">
        <v>2014</v>
      </c>
      <c r="B59" s="11" t="s">
        <v>483</v>
      </c>
      <c r="C59" s="11" t="s">
        <v>484</v>
      </c>
      <c r="D59" s="12">
        <v>1015042</v>
      </c>
      <c r="E59" s="12">
        <v>2</v>
      </c>
      <c r="F59" s="12"/>
      <c r="G59" s="12">
        <v>730</v>
      </c>
      <c r="H59" s="12">
        <v>12.3</v>
      </c>
      <c r="I59" s="12"/>
      <c r="J59" s="12" t="s">
        <v>108</v>
      </c>
      <c r="K59" s="12" t="b">
        <v>0</v>
      </c>
      <c r="L59" s="12">
        <v>2</v>
      </c>
      <c r="M59" s="8">
        <v>2016</v>
      </c>
      <c r="N59" s="9">
        <v>215996.41</v>
      </c>
      <c r="O59" s="9">
        <v>20100</v>
      </c>
      <c r="P59" s="9">
        <v>9900</v>
      </c>
      <c r="Q59" s="9">
        <v>9900</v>
      </c>
      <c r="R59" s="13">
        <v>41815</v>
      </c>
      <c r="S59" s="13">
        <v>41815</v>
      </c>
    </row>
    <row r="60" spans="1:19">
      <c r="A60" s="10">
        <v>2014</v>
      </c>
      <c r="B60" s="11" t="s">
        <v>483</v>
      </c>
      <c r="C60" s="11" t="s">
        <v>484</v>
      </c>
      <c r="D60" s="12">
        <v>1015042</v>
      </c>
      <c r="E60" s="12">
        <v>2</v>
      </c>
      <c r="F60" s="12"/>
      <c r="G60" s="12">
        <v>730</v>
      </c>
      <c r="H60" s="12">
        <v>12.3</v>
      </c>
      <c r="I60" s="12"/>
      <c r="J60" s="12" t="s">
        <v>108</v>
      </c>
      <c r="K60" s="12" t="b">
        <v>0</v>
      </c>
      <c r="L60" s="12">
        <v>1</v>
      </c>
      <c r="M60" s="8">
        <v>2015</v>
      </c>
      <c r="N60" s="9">
        <v>215996.41</v>
      </c>
      <c r="O60" s="9">
        <v>20100</v>
      </c>
      <c r="P60" s="9">
        <v>9900</v>
      </c>
      <c r="Q60" s="9">
        <v>9900</v>
      </c>
      <c r="R60" s="13">
        <v>41815</v>
      </c>
      <c r="S60" s="13">
        <v>41815</v>
      </c>
    </row>
    <row r="61" spans="1:19">
      <c r="A61" s="10">
        <v>2014</v>
      </c>
      <c r="B61" s="11" t="s">
        <v>483</v>
      </c>
      <c r="C61" s="11" t="s">
        <v>484</v>
      </c>
      <c r="D61" s="12">
        <v>1015042</v>
      </c>
      <c r="E61" s="12">
        <v>2</v>
      </c>
      <c r="F61" s="12"/>
      <c r="G61" s="12">
        <v>730</v>
      </c>
      <c r="H61" s="12">
        <v>12.3</v>
      </c>
      <c r="I61" s="12"/>
      <c r="J61" s="12" t="s">
        <v>108</v>
      </c>
      <c r="K61" s="12" t="b">
        <v>0</v>
      </c>
      <c r="L61" s="12">
        <v>0</v>
      </c>
      <c r="M61" s="8">
        <v>2014</v>
      </c>
      <c r="N61" s="9">
        <v>215996.41</v>
      </c>
      <c r="O61" s="9">
        <v>20100</v>
      </c>
      <c r="P61" s="9">
        <v>9900</v>
      </c>
      <c r="Q61" s="9">
        <v>9900</v>
      </c>
      <c r="R61" s="13">
        <v>41815</v>
      </c>
      <c r="S61" s="13">
        <v>41815</v>
      </c>
    </row>
    <row r="62" spans="1:19">
      <c r="A62" s="10">
        <v>2014</v>
      </c>
      <c r="B62" s="11" t="s">
        <v>483</v>
      </c>
      <c r="C62" s="11" t="s">
        <v>484</v>
      </c>
      <c r="D62" s="12">
        <v>1015042</v>
      </c>
      <c r="E62" s="12">
        <v>2</v>
      </c>
      <c r="F62" s="12"/>
      <c r="G62" s="12">
        <v>730</v>
      </c>
      <c r="H62" s="12">
        <v>12.3</v>
      </c>
      <c r="I62" s="12"/>
      <c r="J62" s="12" t="s">
        <v>108</v>
      </c>
      <c r="K62" s="12" t="b">
        <v>0</v>
      </c>
      <c r="L62" s="12">
        <v>5</v>
      </c>
      <c r="M62" s="8">
        <v>2019</v>
      </c>
      <c r="N62" s="9">
        <v>215996.41</v>
      </c>
      <c r="O62" s="9">
        <v>20100</v>
      </c>
      <c r="P62" s="9">
        <v>9900</v>
      </c>
      <c r="Q62" s="9">
        <v>9900</v>
      </c>
      <c r="R62" s="13">
        <v>41815</v>
      </c>
      <c r="S62" s="13">
        <v>41815</v>
      </c>
    </row>
    <row r="63" spans="1:19">
      <c r="A63" s="10">
        <v>2014</v>
      </c>
      <c r="B63" s="11" t="s">
        <v>483</v>
      </c>
      <c r="C63" s="11" t="s">
        <v>484</v>
      </c>
      <c r="D63" s="12">
        <v>1015042</v>
      </c>
      <c r="E63" s="12">
        <v>2</v>
      </c>
      <c r="F63" s="12"/>
      <c r="G63" s="12">
        <v>730</v>
      </c>
      <c r="H63" s="12">
        <v>12.3</v>
      </c>
      <c r="I63" s="12"/>
      <c r="J63" s="12" t="s">
        <v>108</v>
      </c>
      <c r="K63" s="12" t="b">
        <v>0</v>
      </c>
      <c r="L63" s="12">
        <v>3</v>
      </c>
      <c r="M63" s="8">
        <v>2017</v>
      </c>
      <c r="N63" s="9">
        <v>215996.41</v>
      </c>
      <c r="O63" s="9">
        <v>20100</v>
      </c>
      <c r="P63" s="9">
        <v>9900</v>
      </c>
      <c r="Q63" s="9">
        <v>9900</v>
      </c>
      <c r="R63" s="13">
        <v>41815</v>
      </c>
      <c r="S63" s="13">
        <v>41815</v>
      </c>
    </row>
    <row r="64" spans="1:19">
      <c r="A64" s="10">
        <v>2014</v>
      </c>
      <c r="B64" s="11" t="s">
        <v>483</v>
      </c>
      <c r="C64" s="11" t="s">
        <v>484</v>
      </c>
      <c r="D64" s="12">
        <v>1015042</v>
      </c>
      <c r="E64" s="12">
        <v>2</v>
      </c>
      <c r="F64" s="12"/>
      <c r="G64" s="12">
        <v>730</v>
      </c>
      <c r="H64" s="12">
        <v>12.3</v>
      </c>
      <c r="I64" s="12"/>
      <c r="J64" s="12" t="s">
        <v>108</v>
      </c>
      <c r="K64" s="12" t="b">
        <v>0</v>
      </c>
      <c r="L64" s="12">
        <v>6</v>
      </c>
      <c r="M64" s="8">
        <v>2020</v>
      </c>
      <c r="N64" s="9">
        <v>215996.41</v>
      </c>
      <c r="O64" s="9">
        <v>20100</v>
      </c>
      <c r="P64" s="9">
        <v>9900</v>
      </c>
      <c r="Q64" s="9">
        <v>9900</v>
      </c>
      <c r="R64" s="13">
        <v>41815</v>
      </c>
      <c r="S64" s="13">
        <v>41815</v>
      </c>
    </row>
    <row r="65" spans="1:19">
      <c r="A65" s="10">
        <v>2014</v>
      </c>
      <c r="B65" s="11" t="s">
        <v>483</v>
      </c>
      <c r="C65" s="11" t="s">
        <v>484</v>
      </c>
      <c r="D65" s="12">
        <v>1015042</v>
      </c>
      <c r="E65" s="12">
        <v>2</v>
      </c>
      <c r="F65" s="12"/>
      <c r="G65" s="12">
        <v>730</v>
      </c>
      <c r="H65" s="12">
        <v>12.3</v>
      </c>
      <c r="I65" s="12"/>
      <c r="J65" s="12" t="s">
        <v>108</v>
      </c>
      <c r="K65" s="12" t="b">
        <v>0</v>
      </c>
      <c r="L65" s="12">
        <v>7</v>
      </c>
      <c r="M65" s="8">
        <v>2021</v>
      </c>
      <c r="N65" s="9">
        <v>215996.41</v>
      </c>
      <c r="O65" s="9">
        <v>20100</v>
      </c>
      <c r="P65" s="9">
        <v>9900</v>
      </c>
      <c r="Q65" s="9">
        <v>9900</v>
      </c>
      <c r="R65" s="13">
        <v>41815</v>
      </c>
      <c r="S65" s="13">
        <v>41815</v>
      </c>
    </row>
    <row r="66" spans="1:19">
      <c r="A66" s="10">
        <v>2014</v>
      </c>
      <c r="B66" s="11" t="s">
        <v>483</v>
      </c>
      <c r="C66" s="11" t="s">
        <v>484</v>
      </c>
      <c r="D66" s="12">
        <v>1015042</v>
      </c>
      <c r="E66" s="12">
        <v>2</v>
      </c>
      <c r="F66" s="12"/>
      <c r="G66" s="12">
        <v>730</v>
      </c>
      <c r="H66" s="12">
        <v>12.3</v>
      </c>
      <c r="I66" s="12"/>
      <c r="J66" s="12" t="s">
        <v>108</v>
      </c>
      <c r="K66" s="12" t="b">
        <v>0</v>
      </c>
      <c r="L66" s="12">
        <v>4</v>
      </c>
      <c r="M66" s="8">
        <v>2018</v>
      </c>
      <c r="N66" s="9">
        <v>215996.41</v>
      </c>
      <c r="O66" s="9">
        <v>20100</v>
      </c>
      <c r="P66" s="9">
        <v>9900</v>
      </c>
      <c r="Q66" s="9">
        <v>9900</v>
      </c>
      <c r="R66" s="13">
        <v>41815</v>
      </c>
      <c r="S66" s="13">
        <v>41815</v>
      </c>
    </row>
    <row r="67" spans="1:19">
      <c r="A67" s="10">
        <v>2014</v>
      </c>
      <c r="B67" s="11" t="s">
        <v>483</v>
      </c>
      <c r="C67" s="11" t="s">
        <v>484</v>
      </c>
      <c r="D67" s="12">
        <v>1015042</v>
      </c>
      <c r="E67" s="12">
        <v>2</v>
      </c>
      <c r="F67" s="12"/>
      <c r="G67" s="12">
        <v>20</v>
      </c>
      <c r="H67" s="12">
        <v>1.1000000000000001</v>
      </c>
      <c r="I67" s="12"/>
      <c r="J67" s="12" t="s">
        <v>40</v>
      </c>
      <c r="K67" s="12" t="b">
        <v>1</v>
      </c>
      <c r="L67" s="12">
        <v>4</v>
      </c>
      <c r="M67" s="8">
        <v>2018</v>
      </c>
      <c r="N67" s="9">
        <v>7671275.8099999996</v>
      </c>
      <c r="O67" s="9">
        <v>8065350.5199999996</v>
      </c>
      <c r="P67" s="9">
        <v>7450734.4400000004</v>
      </c>
      <c r="Q67" s="9">
        <v>7564624.0599999996</v>
      </c>
      <c r="R67" s="13">
        <v>41815</v>
      </c>
      <c r="S67" s="13">
        <v>41815</v>
      </c>
    </row>
    <row r="68" spans="1:19">
      <c r="A68" s="10">
        <v>2014</v>
      </c>
      <c r="B68" s="11" t="s">
        <v>483</v>
      </c>
      <c r="C68" s="11" t="s">
        <v>484</v>
      </c>
      <c r="D68" s="12">
        <v>1015042</v>
      </c>
      <c r="E68" s="12">
        <v>2</v>
      </c>
      <c r="F68" s="12"/>
      <c r="G68" s="12">
        <v>20</v>
      </c>
      <c r="H68" s="12">
        <v>1.1000000000000001</v>
      </c>
      <c r="I68" s="12"/>
      <c r="J68" s="12" t="s">
        <v>40</v>
      </c>
      <c r="K68" s="12" t="b">
        <v>1</v>
      </c>
      <c r="L68" s="12">
        <v>5</v>
      </c>
      <c r="M68" s="8">
        <v>2019</v>
      </c>
      <c r="N68" s="9">
        <v>7671275.8099999996</v>
      </c>
      <c r="O68" s="9">
        <v>8065350.5199999996</v>
      </c>
      <c r="P68" s="9">
        <v>7450734.4400000004</v>
      </c>
      <c r="Q68" s="9">
        <v>7564624.0599999996</v>
      </c>
      <c r="R68" s="13">
        <v>41815</v>
      </c>
      <c r="S68" s="13">
        <v>41815</v>
      </c>
    </row>
    <row r="69" spans="1:19">
      <c r="A69" s="10">
        <v>2014</v>
      </c>
      <c r="B69" s="11" t="s">
        <v>483</v>
      </c>
      <c r="C69" s="11" t="s">
        <v>484</v>
      </c>
      <c r="D69" s="12">
        <v>1015042</v>
      </c>
      <c r="E69" s="12">
        <v>2</v>
      </c>
      <c r="F69" s="12"/>
      <c r="G69" s="12">
        <v>20</v>
      </c>
      <c r="H69" s="12">
        <v>1.1000000000000001</v>
      </c>
      <c r="I69" s="12"/>
      <c r="J69" s="12" t="s">
        <v>40</v>
      </c>
      <c r="K69" s="12" t="b">
        <v>1</v>
      </c>
      <c r="L69" s="12">
        <v>3</v>
      </c>
      <c r="M69" s="8">
        <v>2017</v>
      </c>
      <c r="N69" s="9">
        <v>7671275.8099999996</v>
      </c>
      <c r="O69" s="9">
        <v>8065350.5199999996</v>
      </c>
      <c r="P69" s="9">
        <v>7450734.4400000004</v>
      </c>
      <c r="Q69" s="9">
        <v>7564624.0599999996</v>
      </c>
      <c r="R69" s="13">
        <v>41815</v>
      </c>
      <c r="S69" s="13">
        <v>41815</v>
      </c>
    </row>
    <row r="70" spans="1:19">
      <c r="A70" s="10">
        <v>2014</v>
      </c>
      <c r="B70" s="11" t="s">
        <v>483</v>
      </c>
      <c r="C70" s="11" t="s">
        <v>484</v>
      </c>
      <c r="D70" s="12">
        <v>1015042</v>
      </c>
      <c r="E70" s="12">
        <v>2</v>
      </c>
      <c r="F70" s="12"/>
      <c r="G70" s="12">
        <v>20</v>
      </c>
      <c r="H70" s="12">
        <v>1.1000000000000001</v>
      </c>
      <c r="I70" s="12"/>
      <c r="J70" s="12" t="s">
        <v>40</v>
      </c>
      <c r="K70" s="12" t="b">
        <v>1</v>
      </c>
      <c r="L70" s="12">
        <v>1</v>
      </c>
      <c r="M70" s="8">
        <v>2015</v>
      </c>
      <c r="N70" s="9">
        <v>7671275.8099999996</v>
      </c>
      <c r="O70" s="9">
        <v>8065350.5199999996</v>
      </c>
      <c r="P70" s="9">
        <v>7450734.4400000004</v>
      </c>
      <c r="Q70" s="9">
        <v>7564624.0599999996</v>
      </c>
      <c r="R70" s="13">
        <v>41815</v>
      </c>
      <c r="S70" s="13">
        <v>41815</v>
      </c>
    </row>
    <row r="71" spans="1:19">
      <c r="A71" s="10">
        <v>2014</v>
      </c>
      <c r="B71" s="11" t="s">
        <v>483</v>
      </c>
      <c r="C71" s="11" t="s">
        <v>484</v>
      </c>
      <c r="D71" s="12">
        <v>1015042</v>
      </c>
      <c r="E71" s="12">
        <v>2</v>
      </c>
      <c r="F71" s="12"/>
      <c r="G71" s="12">
        <v>20</v>
      </c>
      <c r="H71" s="12">
        <v>1.1000000000000001</v>
      </c>
      <c r="I71" s="12"/>
      <c r="J71" s="12" t="s">
        <v>40</v>
      </c>
      <c r="K71" s="12" t="b">
        <v>1</v>
      </c>
      <c r="L71" s="12">
        <v>6</v>
      </c>
      <c r="M71" s="8">
        <v>2020</v>
      </c>
      <c r="N71" s="9">
        <v>7671275.8099999996</v>
      </c>
      <c r="O71" s="9">
        <v>8065350.5199999996</v>
      </c>
      <c r="P71" s="9">
        <v>7450734.4400000004</v>
      </c>
      <c r="Q71" s="9">
        <v>7564624.0599999996</v>
      </c>
      <c r="R71" s="13">
        <v>41815</v>
      </c>
      <c r="S71" s="13">
        <v>41815</v>
      </c>
    </row>
    <row r="72" spans="1:19">
      <c r="A72" s="10">
        <v>2014</v>
      </c>
      <c r="B72" s="11" t="s">
        <v>483</v>
      </c>
      <c r="C72" s="11" t="s">
        <v>484</v>
      </c>
      <c r="D72" s="12">
        <v>1015042</v>
      </c>
      <c r="E72" s="12">
        <v>2</v>
      </c>
      <c r="F72" s="12"/>
      <c r="G72" s="12">
        <v>20</v>
      </c>
      <c r="H72" s="12">
        <v>1.1000000000000001</v>
      </c>
      <c r="I72" s="12"/>
      <c r="J72" s="12" t="s">
        <v>40</v>
      </c>
      <c r="K72" s="12" t="b">
        <v>1</v>
      </c>
      <c r="L72" s="12">
        <v>2</v>
      </c>
      <c r="M72" s="8">
        <v>2016</v>
      </c>
      <c r="N72" s="9">
        <v>7671275.8099999996</v>
      </c>
      <c r="O72" s="9">
        <v>8065350.5199999996</v>
      </c>
      <c r="P72" s="9">
        <v>7450734.4400000004</v>
      </c>
      <c r="Q72" s="9">
        <v>7564624.0599999996</v>
      </c>
      <c r="R72" s="13">
        <v>41815</v>
      </c>
      <c r="S72" s="13">
        <v>41815</v>
      </c>
    </row>
    <row r="73" spans="1:19">
      <c r="A73" s="10">
        <v>2014</v>
      </c>
      <c r="B73" s="11" t="s">
        <v>483</v>
      </c>
      <c r="C73" s="11" t="s">
        <v>484</v>
      </c>
      <c r="D73" s="12">
        <v>1015042</v>
      </c>
      <c r="E73" s="12">
        <v>2</v>
      </c>
      <c r="F73" s="12"/>
      <c r="G73" s="12">
        <v>20</v>
      </c>
      <c r="H73" s="12">
        <v>1.1000000000000001</v>
      </c>
      <c r="I73" s="12"/>
      <c r="J73" s="12" t="s">
        <v>40</v>
      </c>
      <c r="K73" s="12" t="b">
        <v>1</v>
      </c>
      <c r="L73" s="12">
        <v>8</v>
      </c>
      <c r="M73" s="8">
        <v>2022</v>
      </c>
      <c r="N73" s="9">
        <v>7671275.8099999996</v>
      </c>
      <c r="O73" s="9">
        <v>8065350.5199999996</v>
      </c>
      <c r="P73" s="9">
        <v>7450734.4400000004</v>
      </c>
      <c r="Q73" s="9">
        <v>7564624.0599999996</v>
      </c>
      <c r="R73" s="13">
        <v>41815</v>
      </c>
      <c r="S73" s="13">
        <v>41815</v>
      </c>
    </row>
    <row r="74" spans="1:19">
      <c r="A74" s="10">
        <v>2014</v>
      </c>
      <c r="B74" s="11" t="s">
        <v>483</v>
      </c>
      <c r="C74" s="11" t="s">
        <v>484</v>
      </c>
      <c r="D74" s="12">
        <v>1015042</v>
      </c>
      <c r="E74" s="12">
        <v>2</v>
      </c>
      <c r="F74" s="12"/>
      <c r="G74" s="12">
        <v>20</v>
      </c>
      <c r="H74" s="12">
        <v>1.1000000000000001</v>
      </c>
      <c r="I74" s="12"/>
      <c r="J74" s="12" t="s">
        <v>40</v>
      </c>
      <c r="K74" s="12" t="b">
        <v>1</v>
      </c>
      <c r="L74" s="12">
        <v>0</v>
      </c>
      <c r="M74" s="8">
        <v>2014</v>
      </c>
      <c r="N74" s="9">
        <v>7671275.8099999996</v>
      </c>
      <c r="O74" s="9">
        <v>8065350.5199999996</v>
      </c>
      <c r="P74" s="9">
        <v>7450734.4400000004</v>
      </c>
      <c r="Q74" s="9">
        <v>7564624.0599999996</v>
      </c>
      <c r="R74" s="13">
        <v>41815</v>
      </c>
      <c r="S74" s="13">
        <v>41815</v>
      </c>
    </row>
    <row r="75" spans="1:19">
      <c r="A75" s="10">
        <v>2014</v>
      </c>
      <c r="B75" s="11" t="s">
        <v>483</v>
      </c>
      <c r="C75" s="11" t="s">
        <v>484</v>
      </c>
      <c r="D75" s="12">
        <v>1015042</v>
      </c>
      <c r="E75" s="12">
        <v>2</v>
      </c>
      <c r="F75" s="12"/>
      <c r="G75" s="12">
        <v>20</v>
      </c>
      <c r="H75" s="12">
        <v>1.1000000000000001</v>
      </c>
      <c r="I75" s="12"/>
      <c r="J75" s="12" t="s">
        <v>40</v>
      </c>
      <c r="K75" s="12" t="b">
        <v>1</v>
      </c>
      <c r="L75" s="12">
        <v>7</v>
      </c>
      <c r="M75" s="8">
        <v>2021</v>
      </c>
      <c r="N75" s="9">
        <v>7671275.8099999996</v>
      </c>
      <c r="O75" s="9">
        <v>8065350.5199999996</v>
      </c>
      <c r="P75" s="9">
        <v>7450734.4400000004</v>
      </c>
      <c r="Q75" s="9">
        <v>7564624.0599999996</v>
      </c>
      <c r="R75" s="13">
        <v>41815</v>
      </c>
      <c r="S75" s="13">
        <v>41815</v>
      </c>
    </row>
    <row r="76" spans="1:19">
      <c r="A76" s="10">
        <v>2014</v>
      </c>
      <c r="B76" s="11" t="s">
        <v>483</v>
      </c>
      <c r="C76" s="11" t="s">
        <v>484</v>
      </c>
      <c r="D76" s="12">
        <v>1015042</v>
      </c>
      <c r="E76" s="12">
        <v>2</v>
      </c>
      <c r="F76" s="12"/>
      <c r="G76" s="12">
        <v>30</v>
      </c>
      <c r="H76" s="12" t="s">
        <v>41</v>
      </c>
      <c r="I76" s="12"/>
      <c r="J76" s="12" t="s">
        <v>42</v>
      </c>
      <c r="K76" s="12" t="b">
        <v>1</v>
      </c>
      <c r="L76" s="12">
        <v>2</v>
      </c>
      <c r="M76" s="8">
        <v>2016</v>
      </c>
      <c r="N76" s="9">
        <v>708940</v>
      </c>
      <c r="O76" s="9">
        <v>789853</v>
      </c>
      <c r="P76" s="9">
        <v>792391</v>
      </c>
      <c r="Q76" s="9">
        <v>762681</v>
      </c>
      <c r="R76" s="13">
        <v>41815</v>
      </c>
      <c r="S76" s="13">
        <v>41815</v>
      </c>
    </row>
    <row r="77" spans="1:19">
      <c r="A77" s="10">
        <v>2014</v>
      </c>
      <c r="B77" s="11" t="s">
        <v>483</v>
      </c>
      <c r="C77" s="11" t="s">
        <v>484</v>
      </c>
      <c r="D77" s="12">
        <v>1015042</v>
      </c>
      <c r="E77" s="12">
        <v>2</v>
      </c>
      <c r="F77" s="12"/>
      <c r="G77" s="12">
        <v>30</v>
      </c>
      <c r="H77" s="12" t="s">
        <v>41</v>
      </c>
      <c r="I77" s="12"/>
      <c r="J77" s="12" t="s">
        <v>42</v>
      </c>
      <c r="K77" s="12" t="b">
        <v>1</v>
      </c>
      <c r="L77" s="12">
        <v>8</v>
      </c>
      <c r="M77" s="8">
        <v>2022</v>
      </c>
      <c r="N77" s="9">
        <v>708940</v>
      </c>
      <c r="O77" s="9">
        <v>789853</v>
      </c>
      <c r="P77" s="9">
        <v>792391</v>
      </c>
      <c r="Q77" s="9">
        <v>762681</v>
      </c>
      <c r="R77" s="13">
        <v>41815</v>
      </c>
      <c r="S77" s="13">
        <v>41815</v>
      </c>
    </row>
    <row r="78" spans="1:19">
      <c r="A78" s="10">
        <v>2014</v>
      </c>
      <c r="B78" s="11" t="s">
        <v>483</v>
      </c>
      <c r="C78" s="11" t="s">
        <v>484</v>
      </c>
      <c r="D78" s="12">
        <v>1015042</v>
      </c>
      <c r="E78" s="12">
        <v>2</v>
      </c>
      <c r="F78" s="12"/>
      <c r="G78" s="12">
        <v>30</v>
      </c>
      <c r="H78" s="12" t="s">
        <v>41</v>
      </c>
      <c r="I78" s="12"/>
      <c r="J78" s="12" t="s">
        <v>42</v>
      </c>
      <c r="K78" s="12" t="b">
        <v>1</v>
      </c>
      <c r="L78" s="12">
        <v>6</v>
      </c>
      <c r="M78" s="8">
        <v>2020</v>
      </c>
      <c r="N78" s="9">
        <v>708940</v>
      </c>
      <c r="O78" s="9">
        <v>789853</v>
      </c>
      <c r="P78" s="9">
        <v>792391</v>
      </c>
      <c r="Q78" s="9">
        <v>762681</v>
      </c>
      <c r="R78" s="13">
        <v>41815</v>
      </c>
      <c r="S78" s="13">
        <v>41815</v>
      </c>
    </row>
    <row r="79" spans="1:19">
      <c r="A79" s="10">
        <v>2014</v>
      </c>
      <c r="B79" s="11" t="s">
        <v>483</v>
      </c>
      <c r="C79" s="11" t="s">
        <v>484</v>
      </c>
      <c r="D79" s="12">
        <v>1015042</v>
      </c>
      <c r="E79" s="12">
        <v>2</v>
      </c>
      <c r="F79" s="12"/>
      <c r="G79" s="12">
        <v>30</v>
      </c>
      <c r="H79" s="12" t="s">
        <v>41</v>
      </c>
      <c r="I79" s="12"/>
      <c r="J79" s="12" t="s">
        <v>42</v>
      </c>
      <c r="K79" s="12" t="b">
        <v>1</v>
      </c>
      <c r="L79" s="12">
        <v>3</v>
      </c>
      <c r="M79" s="8">
        <v>2017</v>
      </c>
      <c r="N79" s="9">
        <v>708940</v>
      </c>
      <c r="O79" s="9">
        <v>789853</v>
      </c>
      <c r="P79" s="9">
        <v>792391</v>
      </c>
      <c r="Q79" s="9">
        <v>762681</v>
      </c>
      <c r="R79" s="13">
        <v>41815</v>
      </c>
      <c r="S79" s="13">
        <v>41815</v>
      </c>
    </row>
    <row r="80" spans="1:19">
      <c r="A80" s="10">
        <v>2014</v>
      </c>
      <c r="B80" s="11" t="s">
        <v>483</v>
      </c>
      <c r="C80" s="11" t="s">
        <v>484</v>
      </c>
      <c r="D80" s="12">
        <v>1015042</v>
      </c>
      <c r="E80" s="12">
        <v>2</v>
      </c>
      <c r="F80" s="12"/>
      <c r="G80" s="12">
        <v>30</v>
      </c>
      <c r="H80" s="12" t="s">
        <v>41</v>
      </c>
      <c r="I80" s="12"/>
      <c r="J80" s="12" t="s">
        <v>42</v>
      </c>
      <c r="K80" s="12" t="b">
        <v>1</v>
      </c>
      <c r="L80" s="12">
        <v>0</v>
      </c>
      <c r="M80" s="8">
        <v>2014</v>
      </c>
      <c r="N80" s="9">
        <v>708940</v>
      </c>
      <c r="O80" s="9">
        <v>789853</v>
      </c>
      <c r="P80" s="9">
        <v>792391</v>
      </c>
      <c r="Q80" s="9">
        <v>762681</v>
      </c>
      <c r="R80" s="13">
        <v>41815</v>
      </c>
      <c r="S80" s="13">
        <v>41815</v>
      </c>
    </row>
    <row r="81" spans="1:19">
      <c r="A81" s="10">
        <v>2014</v>
      </c>
      <c r="B81" s="11" t="s">
        <v>483</v>
      </c>
      <c r="C81" s="11" t="s">
        <v>484</v>
      </c>
      <c r="D81" s="12">
        <v>1015042</v>
      </c>
      <c r="E81" s="12">
        <v>2</v>
      </c>
      <c r="F81" s="12"/>
      <c r="G81" s="12">
        <v>30</v>
      </c>
      <c r="H81" s="12" t="s">
        <v>41</v>
      </c>
      <c r="I81" s="12"/>
      <c r="J81" s="12" t="s">
        <v>42</v>
      </c>
      <c r="K81" s="12" t="b">
        <v>1</v>
      </c>
      <c r="L81" s="12">
        <v>7</v>
      </c>
      <c r="M81" s="8">
        <v>2021</v>
      </c>
      <c r="N81" s="9">
        <v>708940</v>
      </c>
      <c r="O81" s="9">
        <v>789853</v>
      </c>
      <c r="P81" s="9">
        <v>792391</v>
      </c>
      <c r="Q81" s="9">
        <v>762681</v>
      </c>
      <c r="R81" s="13">
        <v>41815</v>
      </c>
      <c r="S81" s="13">
        <v>41815</v>
      </c>
    </row>
    <row r="82" spans="1:19">
      <c r="A82" s="10">
        <v>2014</v>
      </c>
      <c r="B82" s="11" t="s">
        <v>483</v>
      </c>
      <c r="C82" s="11" t="s">
        <v>484</v>
      </c>
      <c r="D82" s="12">
        <v>1015042</v>
      </c>
      <c r="E82" s="12">
        <v>2</v>
      </c>
      <c r="F82" s="12"/>
      <c r="G82" s="12">
        <v>30</v>
      </c>
      <c r="H82" s="12" t="s">
        <v>41</v>
      </c>
      <c r="I82" s="12"/>
      <c r="J82" s="12" t="s">
        <v>42</v>
      </c>
      <c r="K82" s="12" t="b">
        <v>1</v>
      </c>
      <c r="L82" s="12">
        <v>5</v>
      </c>
      <c r="M82" s="8">
        <v>2019</v>
      </c>
      <c r="N82" s="9">
        <v>708940</v>
      </c>
      <c r="O82" s="9">
        <v>789853</v>
      </c>
      <c r="P82" s="9">
        <v>792391</v>
      </c>
      <c r="Q82" s="9">
        <v>762681</v>
      </c>
      <c r="R82" s="13">
        <v>41815</v>
      </c>
      <c r="S82" s="13">
        <v>41815</v>
      </c>
    </row>
    <row r="83" spans="1:19">
      <c r="A83" s="10">
        <v>2014</v>
      </c>
      <c r="B83" s="11" t="s">
        <v>483</v>
      </c>
      <c r="C83" s="11" t="s">
        <v>484</v>
      </c>
      <c r="D83" s="12">
        <v>1015042</v>
      </c>
      <c r="E83" s="12">
        <v>2</v>
      </c>
      <c r="F83" s="12"/>
      <c r="G83" s="12">
        <v>30</v>
      </c>
      <c r="H83" s="12" t="s">
        <v>41</v>
      </c>
      <c r="I83" s="12"/>
      <c r="J83" s="12" t="s">
        <v>42</v>
      </c>
      <c r="K83" s="12" t="b">
        <v>1</v>
      </c>
      <c r="L83" s="12">
        <v>4</v>
      </c>
      <c r="M83" s="8">
        <v>2018</v>
      </c>
      <c r="N83" s="9">
        <v>708940</v>
      </c>
      <c r="O83" s="9">
        <v>789853</v>
      </c>
      <c r="P83" s="9">
        <v>792391</v>
      </c>
      <c r="Q83" s="9">
        <v>762681</v>
      </c>
      <c r="R83" s="13">
        <v>41815</v>
      </c>
      <c r="S83" s="13">
        <v>41815</v>
      </c>
    </row>
    <row r="84" spans="1:19">
      <c r="A84" s="10">
        <v>2014</v>
      </c>
      <c r="B84" s="11" t="s">
        <v>483</v>
      </c>
      <c r="C84" s="11" t="s">
        <v>484</v>
      </c>
      <c r="D84" s="12">
        <v>1015042</v>
      </c>
      <c r="E84" s="12">
        <v>2</v>
      </c>
      <c r="F84" s="12"/>
      <c r="G84" s="12">
        <v>30</v>
      </c>
      <c r="H84" s="12" t="s">
        <v>41</v>
      </c>
      <c r="I84" s="12"/>
      <c r="J84" s="12" t="s">
        <v>42</v>
      </c>
      <c r="K84" s="12" t="b">
        <v>1</v>
      </c>
      <c r="L84" s="12">
        <v>1</v>
      </c>
      <c r="M84" s="8">
        <v>2015</v>
      </c>
      <c r="N84" s="9">
        <v>708940</v>
      </c>
      <c r="O84" s="9">
        <v>789853</v>
      </c>
      <c r="P84" s="9">
        <v>792391</v>
      </c>
      <c r="Q84" s="9">
        <v>762681</v>
      </c>
      <c r="R84" s="13">
        <v>41815</v>
      </c>
      <c r="S84" s="13">
        <v>41815</v>
      </c>
    </row>
    <row r="85" spans="1:19">
      <c r="A85" s="10">
        <v>2014</v>
      </c>
      <c r="B85" s="11" t="s">
        <v>483</v>
      </c>
      <c r="C85" s="11" t="s">
        <v>484</v>
      </c>
      <c r="D85" s="12">
        <v>1015042</v>
      </c>
      <c r="E85" s="12">
        <v>2</v>
      </c>
      <c r="F85" s="12"/>
      <c r="G85" s="12">
        <v>840</v>
      </c>
      <c r="H85" s="12">
        <v>13.5</v>
      </c>
      <c r="I85" s="12"/>
      <c r="J85" s="12" t="s">
        <v>123</v>
      </c>
      <c r="K85" s="12" t="b">
        <v>1</v>
      </c>
      <c r="L85" s="12">
        <v>4</v>
      </c>
      <c r="M85" s="8">
        <v>2018</v>
      </c>
      <c r="N85" s="9">
        <v>0</v>
      </c>
      <c r="O85" s="9">
        <v>0</v>
      </c>
      <c r="P85" s="9">
        <v>0</v>
      </c>
      <c r="Q85" s="9">
        <v>0</v>
      </c>
      <c r="R85" s="13">
        <v>41815</v>
      </c>
      <c r="S85" s="13">
        <v>41815</v>
      </c>
    </row>
    <row r="86" spans="1:19">
      <c r="A86" s="10">
        <v>2014</v>
      </c>
      <c r="B86" s="11" t="s">
        <v>483</v>
      </c>
      <c r="C86" s="11" t="s">
        <v>484</v>
      </c>
      <c r="D86" s="12">
        <v>1015042</v>
      </c>
      <c r="E86" s="12">
        <v>2</v>
      </c>
      <c r="F86" s="12"/>
      <c r="G86" s="12">
        <v>840</v>
      </c>
      <c r="H86" s="12">
        <v>13.5</v>
      </c>
      <c r="I86" s="12"/>
      <c r="J86" s="12" t="s">
        <v>123</v>
      </c>
      <c r="K86" s="12" t="b">
        <v>1</v>
      </c>
      <c r="L86" s="12">
        <v>0</v>
      </c>
      <c r="M86" s="8">
        <v>2014</v>
      </c>
      <c r="N86" s="9">
        <v>0</v>
      </c>
      <c r="O86" s="9">
        <v>0</v>
      </c>
      <c r="P86" s="9">
        <v>0</v>
      </c>
      <c r="Q86" s="9">
        <v>0</v>
      </c>
      <c r="R86" s="13">
        <v>41815</v>
      </c>
      <c r="S86" s="13">
        <v>41815</v>
      </c>
    </row>
    <row r="87" spans="1:19">
      <c r="A87" s="10">
        <v>2014</v>
      </c>
      <c r="B87" s="11" t="s">
        <v>483</v>
      </c>
      <c r="C87" s="11" t="s">
        <v>484</v>
      </c>
      <c r="D87" s="12">
        <v>1015042</v>
      </c>
      <c r="E87" s="12">
        <v>2</v>
      </c>
      <c r="F87" s="12"/>
      <c r="G87" s="12">
        <v>840</v>
      </c>
      <c r="H87" s="12">
        <v>13.5</v>
      </c>
      <c r="I87" s="12"/>
      <c r="J87" s="12" t="s">
        <v>123</v>
      </c>
      <c r="K87" s="12" t="b">
        <v>1</v>
      </c>
      <c r="L87" s="12">
        <v>3</v>
      </c>
      <c r="M87" s="8">
        <v>2017</v>
      </c>
      <c r="N87" s="9">
        <v>0</v>
      </c>
      <c r="O87" s="9">
        <v>0</v>
      </c>
      <c r="P87" s="9">
        <v>0</v>
      </c>
      <c r="Q87" s="9">
        <v>0</v>
      </c>
      <c r="R87" s="13">
        <v>41815</v>
      </c>
      <c r="S87" s="13">
        <v>41815</v>
      </c>
    </row>
    <row r="88" spans="1:19">
      <c r="A88" s="10">
        <v>2014</v>
      </c>
      <c r="B88" s="11" t="s">
        <v>483</v>
      </c>
      <c r="C88" s="11" t="s">
        <v>484</v>
      </c>
      <c r="D88" s="12">
        <v>1015042</v>
      </c>
      <c r="E88" s="12">
        <v>2</v>
      </c>
      <c r="F88" s="12"/>
      <c r="G88" s="12">
        <v>840</v>
      </c>
      <c r="H88" s="12">
        <v>13.5</v>
      </c>
      <c r="I88" s="12"/>
      <c r="J88" s="12" t="s">
        <v>123</v>
      </c>
      <c r="K88" s="12" t="b">
        <v>1</v>
      </c>
      <c r="L88" s="12">
        <v>8</v>
      </c>
      <c r="M88" s="8">
        <v>2022</v>
      </c>
      <c r="N88" s="9">
        <v>0</v>
      </c>
      <c r="O88" s="9">
        <v>0</v>
      </c>
      <c r="P88" s="9">
        <v>0</v>
      </c>
      <c r="Q88" s="9">
        <v>0</v>
      </c>
      <c r="R88" s="13">
        <v>41815</v>
      </c>
      <c r="S88" s="13">
        <v>41815</v>
      </c>
    </row>
    <row r="89" spans="1:19">
      <c r="A89" s="10">
        <v>2014</v>
      </c>
      <c r="B89" s="11" t="s">
        <v>483</v>
      </c>
      <c r="C89" s="11" t="s">
        <v>484</v>
      </c>
      <c r="D89" s="12">
        <v>1015042</v>
      </c>
      <c r="E89" s="12">
        <v>2</v>
      </c>
      <c r="F89" s="12"/>
      <c r="G89" s="12">
        <v>840</v>
      </c>
      <c r="H89" s="12">
        <v>13.5</v>
      </c>
      <c r="I89" s="12"/>
      <c r="J89" s="12" t="s">
        <v>123</v>
      </c>
      <c r="K89" s="12" t="b">
        <v>1</v>
      </c>
      <c r="L89" s="12">
        <v>5</v>
      </c>
      <c r="M89" s="8">
        <v>2019</v>
      </c>
      <c r="N89" s="9">
        <v>0</v>
      </c>
      <c r="O89" s="9">
        <v>0</v>
      </c>
      <c r="P89" s="9">
        <v>0</v>
      </c>
      <c r="Q89" s="9">
        <v>0</v>
      </c>
      <c r="R89" s="13">
        <v>41815</v>
      </c>
      <c r="S89" s="13">
        <v>41815</v>
      </c>
    </row>
    <row r="90" spans="1:19">
      <c r="A90" s="10">
        <v>2014</v>
      </c>
      <c r="B90" s="11" t="s">
        <v>483</v>
      </c>
      <c r="C90" s="11" t="s">
        <v>484</v>
      </c>
      <c r="D90" s="12">
        <v>1015042</v>
      </c>
      <c r="E90" s="12">
        <v>2</v>
      </c>
      <c r="F90" s="12"/>
      <c r="G90" s="12">
        <v>840</v>
      </c>
      <c r="H90" s="12">
        <v>13.5</v>
      </c>
      <c r="I90" s="12"/>
      <c r="J90" s="12" t="s">
        <v>123</v>
      </c>
      <c r="K90" s="12" t="b">
        <v>1</v>
      </c>
      <c r="L90" s="12">
        <v>7</v>
      </c>
      <c r="M90" s="8">
        <v>2021</v>
      </c>
      <c r="N90" s="9">
        <v>0</v>
      </c>
      <c r="O90" s="9">
        <v>0</v>
      </c>
      <c r="P90" s="9">
        <v>0</v>
      </c>
      <c r="Q90" s="9">
        <v>0</v>
      </c>
      <c r="R90" s="13">
        <v>41815</v>
      </c>
      <c r="S90" s="13">
        <v>41815</v>
      </c>
    </row>
    <row r="91" spans="1:19">
      <c r="A91" s="10">
        <v>2014</v>
      </c>
      <c r="B91" s="11" t="s">
        <v>483</v>
      </c>
      <c r="C91" s="11" t="s">
        <v>484</v>
      </c>
      <c r="D91" s="12">
        <v>1015042</v>
      </c>
      <c r="E91" s="12">
        <v>2</v>
      </c>
      <c r="F91" s="12"/>
      <c r="G91" s="12">
        <v>840</v>
      </c>
      <c r="H91" s="12">
        <v>13.5</v>
      </c>
      <c r="I91" s="12"/>
      <c r="J91" s="12" t="s">
        <v>123</v>
      </c>
      <c r="K91" s="12" t="b">
        <v>1</v>
      </c>
      <c r="L91" s="12">
        <v>6</v>
      </c>
      <c r="M91" s="8">
        <v>2020</v>
      </c>
      <c r="N91" s="9">
        <v>0</v>
      </c>
      <c r="O91" s="9">
        <v>0</v>
      </c>
      <c r="P91" s="9">
        <v>0</v>
      </c>
      <c r="Q91" s="9">
        <v>0</v>
      </c>
      <c r="R91" s="13">
        <v>41815</v>
      </c>
      <c r="S91" s="13">
        <v>41815</v>
      </c>
    </row>
    <row r="92" spans="1:19">
      <c r="A92" s="10">
        <v>2014</v>
      </c>
      <c r="B92" s="11" t="s">
        <v>483</v>
      </c>
      <c r="C92" s="11" t="s">
        <v>484</v>
      </c>
      <c r="D92" s="12">
        <v>1015042</v>
      </c>
      <c r="E92" s="12">
        <v>2</v>
      </c>
      <c r="F92" s="12"/>
      <c r="G92" s="12">
        <v>840</v>
      </c>
      <c r="H92" s="12">
        <v>13.5</v>
      </c>
      <c r="I92" s="12"/>
      <c r="J92" s="12" t="s">
        <v>123</v>
      </c>
      <c r="K92" s="12" t="b">
        <v>1</v>
      </c>
      <c r="L92" s="12">
        <v>2</v>
      </c>
      <c r="M92" s="8">
        <v>2016</v>
      </c>
      <c r="N92" s="9">
        <v>0</v>
      </c>
      <c r="O92" s="9">
        <v>0</v>
      </c>
      <c r="P92" s="9">
        <v>0</v>
      </c>
      <c r="Q92" s="9">
        <v>0</v>
      </c>
      <c r="R92" s="13">
        <v>41815</v>
      </c>
      <c r="S92" s="13">
        <v>41815</v>
      </c>
    </row>
    <row r="93" spans="1:19">
      <c r="A93" s="10">
        <v>2014</v>
      </c>
      <c r="B93" s="11" t="s">
        <v>483</v>
      </c>
      <c r="C93" s="11" t="s">
        <v>484</v>
      </c>
      <c r="D93" s="12">
        <v>1015042</v>
      </c>
      <c r="E93" s="12">
        <v>2</v>
      </c>
      <c r="F93" s="12"/>
      <c r="G93" s="12">
        <v>840</v>
      </c>
      <c r="H93" s="12">
        <v>13.5</v>
      </c>
      <c r="I93" s="12"/>
      <c r="J93" s="12" t="s">
        <v>123</v>
      </c>
      <c r="K93" s="12" t="b">
        <v>1</v>
      </c>
      <c r="L93" s="12">
        <v>1</v>
      </c>
      <c r="M93" s="8">
        <v>2015</v>
      </c>
      <c r="N93" s="9">
        <v>0</v>
      </c>
      <c r="O93" s="9">
        <v>0</v>
      </c>
      <c r="P93" s="9">
        <v>0</v>
      </c>
      <c r="Q93" s="9">
        <v>0</v>
      </c>
      <c r="R93" s="13">
        <v>41815</v>
      </c>
      <c r="S93" s="13">
        <v>41815</v>
      </c>
    </row>
    <row r="94" spans="1:19">
      <c r="A94" s="10">
        <v>2014</v>
      </c>
      <c r="B94" s="11" t="s">
        <v>483</v>
      </c>
      <c r="C94" s="11" t="s">
        <v>484</v>
      </c>
      <c r="D94" s="12">
        <v>1015042</v>
      </c>
      <c r="E94" s="12">
        <v>2</v>
      </c>
      <c r="F94" s="12"/>
      <c r="G94" s="12">
        <v>280</v>
      </c>
      <c r="H94" s="12">
        <v>4.4000000000000004</v>
      </c>
      <c r="I94" s="12"/>
      <c r="J94" s="12" t="s">
        <v>74</v>
      </c>
      <c r="K94" s="12" t="b">
        <v>0</v>
      </c>
      <c r="L94" s="12">
        <v>8</v>
      </c>
      <c r="M94" s="8">
        <v>2022</v>
      </c>
      <c r="N94" s="9">
        <v>0</v>
      </c>
      <c r="O94" s="9">
        <v>0</v>
      </c>
      <c r="P94" s="9">
        <v>0</v>
      </c>
      <c r="Q94" s="9">
        <v>0</v>
      </c>
      <c r="R94" s="13">
        <v>41815</v>
      </c>
      <c r="S94" s="13">
        <v>41815</v>
      </c>
    </row>
    <row r="95" spans="1:19">
      <c r="A95" s="10">
        <v>2014</v>
      </c>
      <c r="B95" s="11" t="s">
        <v>483</v>
      </c>
      <c r="C95" s="11" t="s">
        <v>484</v>
      </c>
      <c r="D95" s="12">
        <v>1015042</v>
      </c>
      <c r="E95" s="12">
        <v>2</v>
      </c>
      <c r="F95" s="12"/>
      <c r="G95" s="12">
        <v>280</v>
      </c>
      <c r="H95" s="12">
        <v>4.4000000000000004</v>
      </c>
      <c r="I95" s="12"/>
      <c r="J95" s="12" t="s">
        <v>74</v>
      </c>
      <c r="K95" s="12" t="b">
        <v>0</v>
      </c>
      <c r="L95" s="12">
        <v>2</v>
      </c>
      <c r="M95" s="8">
        <v>2016</v>
      </c>
      <c r="N95" s="9">
        <v>0</v>
      </c>
      <c r="O95" s="9">
        <v>0</v>
      </c>
      <c r="P95" s="9">
        <v>0</v>
      </c>
      <c r="Q95" s="9">
        <v>0</v>
      </c>
      <c r="R95" s="13">
        <v>41815</v>
      </c>
      <c r="S95" s="13">
        <v>41815</v>
      </c>
    </row>
    <row r="96" spans="1:19">
      <c r="A96" s="10">
        <v>2014</v>
      </c>
      <c r="B96" s="11" t="s">
        <v>483</v>
      </c>
      <c r="C96" s="11" t="s">
        <v>484</v>
      </c>
      <c r="D96" s="12">
        <v>1015042</v>
      </c>
      <c r="E96" s="12">
        <v>2</v>
      </c>
      <c r="F96" s="12"/>
      <c r="G96" s="12">
        <v>280</v>
      </c>
      <c r="H96" s="12">
        <v>4.4000000000000004</v>
      </c>
      <c r="I96" s="12"/>
      <c r="J96" s="12" t="s">
        <v>74</v>
      </c>
      <c r="K96" s="12" t="b">
        <v>0</v>
      </c>
      <c r="L96" s="12">
        <v>0</v>
      </c>
      <c r="M96" s="8">
        <v>2014</v>
      </c>
      <c r="N96" s="9">
        <v>0</v>
      </c>
      <c r="O96" s="9">
        <v>0</v>
      </c>
      <c r="P96" s="9">
        <v>0</v>
      </c>
      <c r="Q96" s="9">
        <v>0</v>
      </c>
      <c r="R96" s="13">
        <v>41815</v>
      </c>
      <c r="S96" s="13">
        <v>41815</v>
      </c>
    </row>
    <row r="97" spans="1:19">
      <c r="A97" s="10">
        <v>2014</v>
      </c>
      <c r="B97" s="11" t="s">
        <v>483</v>
      </c>
      <c r="C97" s="11" t="s">
        <v>484</v>
      </c>
      <c r="D97" s="12">
        <v>1015042</v>
      </c>
      <c r="E97" s="12">
        <v>2</v>
      </c>
      <c r="F97" s="12"/>
      <c r="G97" s="12">
        <v>280</v>
      </c>
      <c r="H97" s="12">
        <v>4.4000000000000004</v>
      </c>
      <c r="I97" s="12"/>
      <c r="J97" s="12" t="s">
        <v>74</v>
      </c>
      <c r="K97" s="12" t="b">
        <v>0</v>
      </c>
      <c r="L97" s="12">
        <v>6</v>
      </c>
      <c r="M97" s="8">
        <v>2020</v>
      </c>
      <c r="N97" s="9">
        <v>0</v>
      </c>
      <c r="O97" s="9">
        <v>0</v>
      </c>
      <c r="P97" s="9">
        <v>0</v>
      </c>
      <c r="Q97" s="9">
        <v>0</v>
      </c>
      <c r="R97" s="13">
        <v>41815</v>
      </c>
      <c r="S97" s="13">
        <v>41815</v>
      </c>
    </row>
    <row r="98" spans="1:19">
      <c r="A98" s="10">
        <v>2014</v>
      </c>
      <c r="B98" s="11" t="s">
        <v>483</v>
      </c>
      <c r="C98" s="11" t="s">
        <v>484</v>
      </c>
      <c r="D98" s="12">
        <v>1015042</v>
      </c>
      <c r="E98" s="12">
        <v>2</v>
      </c>
      <c r="F98" s="12"/>
      <c r="G98" s="12">
        <v>280</v>
      </c>
      <c r="H98" s="12">
        <v>4.4000000000000004</v>
      </c>
      <c r="I98" s="12"/>
      <c r="J98" s="12" t="s">
        <v>74</v>
      </c>
      <c r="K98" s="12" t="b">
        <v>0</v>
      </c>
      <c r="L98" s="12">
        <v>3</v>
      </c>
      <c r="M98" s="8">
        <v>2017</v>
      </c>
      <c r="N98" s="9">
        <v>0</v>
      </c>
      <c r="O98" s="9">
        <v>0</v>
      </c>
      <c r="P98" s="9">
        <v>0</v>
      </c>
      <c r="Q98" s="9">
        <v>0</v>
      </c>
      <c r="R98" s="13">
        <v>41815</v>
      </c>
      <c r="S98" s="13">
        <v>41815</v>
      </c>
    </row>
    <row r="99" spans="1:19">
      <c r="A99" s="10">
        <v>2014</v>
      </c>
      <c r="B99" s="11" t="s">
        <v>483</v>
      </c>
      <c r="C99" s="11" t="s">
        <v>484</v>
      </c>
      <c r="D99" s="12">
        <v>1015042</v>
      </c>
      <c r="E99" s="12">
        <v>2</v>
      </c>
      <c r="F99" s="12"/>
      <c r="G99" s="12">
        <v>280</v>
      </c>
      <c r="H99" s="12">
        <v>4.4000000000000004</v>
      </c>
      <c r="I99" s="12"/>
      <c r="J99" s="12" t="s">
        <v>74</v>
      </c>
      <c r="K99" s="12" t="b">
        <v>0</v>
      </c>
      <c r="L99" s="12">
        <v>1</v>
      </c>
      <c r="M99" s="8">
        <v>2015</v>
      </c>
      <c r="N99" s="9">
        <v>0</v>
      </c>
      <c r="O99" s="9">
        <v>0</v>
      </c>
      <c r="P99" s="9">
        <v>0</v>
      </c>
      <c r="Q99" s="9">
        <v>0</v>
      </c>
      <c r="R99" s="13">
        <v>41815</v>
      </c>
      <c r="S99" s="13">
        <v>41815</v>
      </c>
    </row>
    <row r="100" spans="1:19">
      <c r="A100" s="10">
        <v>2014</v>
      </c>
      <c r="B100" s="11" t="s">
        <v>483</v>
      </c>
      <c r="C100" s="11" t="s">
        <v>484</v>
      </c>
      <c r="D100" s="12">
        <v>1015042</v>
      </c>
      <c r="E100" s="12">
        <v>2</v>
      </c>
      <c r="F100" s="12"/>
      <c r="G100" s="12">
        <v>280</v>
      </c>
      <c r="H100" s="12">
        <v>4.4000000000000004</v>
      </c>
      <c r="I100" s="12"/>
      <c r="J100" s="12" t="s">
        <v>74</v>
      </c>
      <c r="K100" s="12" t="b">
        <v>0</v>
      </c>
      <c r="L100" s="12">
        <v>4</v>
      </c>
      <c r="M100" s="8">
        <v>2018</v>
      </c>
      <c r="N100" s="9">
        <v>0</v>
      </c>
      <c r="O100" s="9">
        <v>0</v>
      </c>
      <c r="P100" s="9">
        <v>0</v>
      </c>
      <c r="Q100" s="9">
        <v>0</v>
      </c>
      <c r="R100" s="13">
        <v>41815</v>
      </c>
      <c r="S100" s="13">
        <v>41815</v>
      </c>
    </row>
    <row r="101" spans="1:19">
      <c r="A101" s="10">
        <v>2014</v>
      </c>
      <c r="B101" s="11" t="s">
        <v>483</v>
      </c>
      <c r="C101" s="11" t="s">
        <v>484</v>
      </c>
      <c r="D101" s="12">
        <v>1015042</v>
      </c>
      <c r="E101" s="12">
        <v>2</v>
      </c>
      <c r="F101" s="12"/>
      <c r="G101" s="12">
        <v>280</v>
      </c>
      <c r="H101" s="12">
        <v>4.4000000000000004</v>
      </c>
      <c r="I101" s="12"/>
      <c r="J101" s="12" t="s">
        <v>74</v>
      </c>
      <c r="K101" s="12" t="b">
        <v>0</v>
      </c>
      <c r="L101" s="12">
        <v>7</v>
      </c>
      <c r="M101" s="8">
        <v>2021</v>
      </c>
      <c r="N101" s="9">
        <v>0</v>
      </c>
      <c r="O101" s="9">
        <v>0</v>
      </c>
      <c r="P101" s="9">
        <v>0</v>
      </c>
      <c r="Q101" s="9">
        <v>0</v>
      </c>
      <c r="R101" s="13">
        <v>41815</v>
      </c>
      <c r="S101" s="13">
        <v>41815</v>
      </c>
    </row>
    <row r="102" spans="1:19">
      <c r="A102" s="10">
        <v>2014</v>
      </c>
      <c r="B102" s="11" t="s">
        <v>483</v>
      </c>
      <c r="C102" s="11" t="s">
        <v>484</v>
      </c>
      <c r="D102" s="12">
        <v>1015042</v>
      </c>
      <c r="E102" s="12">
        <v>2</v>
      </c>
      <c r="F102" s="12"/>
      <c r="G102" s="12">
        <v>280</v>
      </c>
      <c r="H102" s="12">
        <v>4.4000000000000004</v>
      </c>
      <c r="I102" s="12"/>
      <c r="J102" s="12" t="s">
        <v>74</v>
      </c>
      <c r="K102" s="12" t="b">
        <v>0</v>
      </c>
      <c r="L102" s="12">
        <v>5</v>
      </c>
      <c r="M102" s="8">
        <v>2019</v>
      </c>
      <c r="N102" s="9">
        <v>0</v>
      </c>
      <c r="O102" s="9">
        <v>0</v>
      </c>
      <c r="P102" s="9">
        <v>0</v>
      </c>
      <c r="Q102" s="9">
        <v>0</v>
      </c>
      <c r="R102" s="13">
        <v>41815</v>
      </c>
      <c r="S102" s="13">
        <v>41815</v>
      </c>
    </row>
    <row r="103" spans="1:19">
      <c r="A103" s="10">
        <v>2014</v>
      </c>
      <c r="B103" s="11" t="s">
        <v>483</v>
      </c>
      <c r="C103" s="11" t="s">
        <v>484</v>
      </c>
      <c r="D103" s="12">
        <v>1015042</v>
      </c>
      <c r="E103" s="12">
        <v>2</v>
      </c>
      <c r="F103" s="12"/>
      <c r="G103" s="12">
        <v>700</v>
      </c>
      <c r="H103" s="12">
        <v>12.2</v>
      </c>
      <c r="I103" s="12"/>
      <c r="J103" s="12" t="s">
        <v>103</v>
      </c>
      <c r="K103" s="12" t="b">
        <v>0</v>
      </c>
      <c r="L103" s="12">
        <v>7</v>
      </c>
      <c r="M103" s="8">
        <v>2021</v>
      </c>
      <c r="N103" s="9">
        <v>993396</v>
      </c>
      <c r="O103" s="9">
        <v>1913243.57</v>
      </c>
      <c r="P103" s="9">
        <v>779500</v>
      </c>
      <c r="Q103" s="9">
        <v>279500</v>
      </c>
      <c r="R103" s="13">
        <v>41815</v>
      </c>
      <c r="S103" s="13">
        <v>41815</v>
      </c>
    </row>
    <row r="104" spans="1:19">
      <c r="A104" s="10">
        <v>2014</v>
      </c>
      <c r="B104" s="11" t="s">
        <v>483</v>
      </c>
      <c r="C104" s="11" t="s">
        <v>484</v>
      </c>
      <c r="D104" s="12">
        <v>1015042</v>
      </c>
      <c r="E104" s="12">
        <v>2</v>
      </c>
      <c r="F104" s="12"/>
      <c r="G104" s="12">
        <v>700</v>
      </c>
      <c r="H104" s="12">
        <v>12.2</v>
      </c>
      <c r="I104" s="12"/>
      <c r="J104" s="12" t="s">
        <v>103</v>
      </c>
      <c r="K104" s="12" t="b">
        <v>0</v>
      </c>
      <c r="L104" s="12">
        <v>4</v>
      </c>
      <c r="M104" s="8">
        <v>2018</v>
      </c>
      <c r="N104" s="9">
        <v>993396</v>
      </c>
      <c r="O104" s="9">
        <v>1913243.57</v>
      </c>
      <c r="P104" s="9">
        <v>779500</v>
      </c>
      <c r="Q104" s="9">
        <v>279500</v>
      </c>
      <c r="R104" s="13">
        <v>41815</v>
      </c>
      <c r="S104" s="13">
        <v>41815</v>
      </c>
    </row>
    <row r="105" spans="1:19">
      <c r="A105" s="10">
        <v>2014</v>
      </c>
      <c r="B105" s="11" t="s">
        <v>483</v>
      </c>
      <c r="C105" s="11" t="s">
        <v>484</v>
      </c>
      <c r="D105" s="12">
        <v>1015042</v>
      </c>
      <c r="E105" s="12">
        <v>2</v>
      </c>
      <c r="F105" s="12"/>
      <c r="G105" s="12">
        <v>700</v>
      </c>
      <c r="H105" s="12">
        <v>12.2</v>
      </c>
      <c r="I105" s="12"/>
      <c r="J105" s="12" t="s">
        <v>103</v>
      </c>
      <c r="K105" s="12" t="b">
        <v>0</v>
      </c>
      <c r="L105" s="12">
        <v>3</v>
      </c>
      <c r="M105" s="8">
        <v>2017</v>
      </c>
      <c r="N105" s="9">
        <v>993396</v>
      </c>
      <c r="O105" s="9">
        <v>1913243.57</v>
      </c>
      <c r="P105" s="9">
        <v>779500</v>
      </c>
      <c r="Q105" s="9">
        <v>279500</v>
      </c>
      <c r="R105" s="13">
        <v>41815</v>
      </c>
      <c r="S105" s="13">
        <v>41815</v>
      </c>
    </row>
    <row r="106" spans="1:19">
      <c r="A106" s="10">
        <v>2014</v>
      </c>
      <c r="B106" s="11" t="s">
        <v>483</v>
      </c>
      <c r="C106" s="11" t="s">
        <v>484</v>
      </c>
      <c r="D106" s="12">
        <v>1015042</v>
      </c>
      <c r="E106" s="12">
        <v>2</v>
      </c>
      <c r="F106" s="12"/>
      <c r="G106" s="12">
        <v>700</v>
      </c>
      <c r="H106" s="12">
        <v>12.2</v>
      </c>
      <c r="I106" s="12"/>
      <c r="J106" s="12" t="s">
        <v>103</v>
      </c>
      <c r="K106" s="12" t="b">
        <v>0</v>
      </c>
      <c r="L106" s="12">
        <v>0</v>
      </c>
      <c r="M106" s="8">
        <v>2014</v>
      </c>
      <c r="N106" s="9">
        <v>993396</v>
      </c>
      <c r="O106" s="9">
        <v>1913243.57</v>
      </c>
      <c r="P106" s="9">
        <v>779500</v>
      </c>
      <c r="Q106" s="9">
        <v>279500</v>
      </c>
      <c r="R106" s="13">
        <v>41815</v>
      </c>
      <c r="S106" s="13">
        <v>41815</v>
      </c>
    </row>
    <row r="107" spans="1:19">
      <c r="A107" s="10">
        <v>2014</v>
      </c>
      <c r="B107" s="11" t="s">
        <v>483</v>
      </c>
      <c r="C107" s="11" t="s">
        <v>484</v>
      </c>
      <c r="D107" s="12">
        <v>1015042</v>
      </c>
      <c r="E107" s="12">
        <v>2</v>
      </c>
      <c r="F107" s="12"/>
      <c r="G107" s="12">
        <v>700</v>
      </c>
      <c r="H107" s="12">
        <v>12.2</v>
      </c>
      <c r="I107" s="12"/>
      <c r="J107" s="12" t="s">
        <v>103</v>
      </c>
      <c r="K107" s="12" t="b">
        <v>0</v>
      </c>
      <c r="L107" s="12">
        <v>1</v>
      </c>
      <c r="M107" s="8">
        <v>2015</v>
      </c>
      <c r="N107" s="9">
        <v>993396</v>
      </c>
      <c r="O107" s="9">
        <v>1913243.57</v>
      </c>
      <c r="P107" s="9">
        <v>779500</v>
      </c>
      <c r="Q107" s="9">
        <v>279500</v>
      </c>
      <c r="R107" s="13">
        <v>41815</v>
      </c>
      <c r="S107" s="13">
        <v>41815</v>
      </c>
    </row>
    <row r="108" spans="1:19">
      <c r="A108" s="10">
        <v>2014</v>
      </c>
      <c r="B108" s="11" t="s">
        <v>483</v>
      </c>
      <c r="C108" s="11" t="s">
        <v>484</v>
      </c>
      <c r="D108" s="12">
        <v>1015042</v>
      </c>
      <c r="E108" s="12">
        <v>2</v>
      </c>
      <c r="F108" s="12"/>
      <c r="G108" s="12">
        <v>700</v>
      </c>
      <c r="H108" s="12">
        <v>12.2</v>
      </c>
      <c r="I108" s="12"/>
      <c r="J108" s="12" t="s">
        <v>103</v>
      </c>
      <c r="K108" s="12" t="b">
        <v>0</v>
      </c>
      <c r="L108" s="12">
        <v>8</v>
      </c>
      <c r="M108" s="8">
        <v>2022</v>
      </c>
      <c r="N108" s="9">
        <v>993396</v>
      </c>
      <c r="O108" s="9">
        <v>1913243.57</v>
      </c>
      <c r="P108" s="9">
        <v>779500</v>
      </c>
      <c r="Q108" s="9">
        <v>279500</v>
      </c>
      <c r="R108" s="13">
        <v>41815</v>
      </c>
      <c r="S108" s="13">
        <v>41815</v>
      </c>
    </row>
    <row r="109" spans="1:19">
      <c r="A109" s="10">
        <v>2014</v>
      </c>
      <c r="B109" s="11" t="s">
        <v>483</v>
      </c>
      <c r="C109" s="11" t="s">
        <v>484</v>
      </c>
      <c r="D109" s="12">
        <v>1015042</v>
      </c>
      <c r="E109" s="12">
        <v>2</v>
      </c>
      <c r="F109" s="12"/>
      <c r="G109" s="12">
        <v>700</v>
      </c>
      <c r="H109" s="12">
        <v>12.2</v>
      </c>
      <c r="I109" s="12"/>
      <c r="J109" s="12" t="s">
        <v>103</v>
      </c>
      <c r="K109" s="12" t="b">
        <v>0</v>
      </c>
      <c r="L109" s="12">
        <v>5</v>
      </c>
      <c r="M109" s="8">
        <v>2019</v>
      </c>
      <c r="N109" s="9">
        <v>993396</v>
      </c>
      <c r="O109" s="9">
        <v>1913243.57</v>
      </c>
      <c r="P109" s="9">
        <v>779500</v>
      </c>
      <c r="Q109" s="9">
        <v>279500</v>
      </c>
      <c r="R109" s="13">
        <v>41815</v>
      </c>
      <c r="S109" s="13">
        <v>41815</v>
      </c>
    </row>
    <row r="110" spans="1:19">
      <c r="A110" s="10">
        <v>2014</v>
      </c>
      <c r="B110" s="11" t="s">
        <v>483</v>
      </c>
      <c r="C110" s="11" t="s">
        <v>484</v>
      </c>
      <c r="D110" s="12">
        <v>1015042</v>
      </c>
      <c r="E110" s="12">
        <v>2</v>
      </c>
      <c r="F110" s="12"/>
      <c r="G110" s="12">
        <v>700</v>
      </c>
      <c r="H110" s="12">
        <v>12.2</v>
      </c>
      <c r="I110" s="12"/>
      <c r="J110" s="12" t="s">
        <v>103</v>
      </c>
      <c r="K110" s="12" t="b">
        <v>0</v>
      </c>
      <c r="L110" s="12">
        <v>6</v>
      </c>
      <c r="M110" s="8">
        <v>2020</v>
      </c>
      <c r="N110" s="9">
        <v>993396</v>
      </c>
      <c r="O110" s="9">
        <v>1913243.57</v>
      </c>
      <c r="P110" s="9">
        <v>779500</v>
      </c>
      <c r="Q110" s="9">
        <v>279500</v>
      </c>
      <c r="R110" s="13">
        <v>41815</v>
      </c>
      <c r="S110" s="13">
        <v>41815</v>
      </c>
    </row>
    <row r="111" spans="1:19">
      <c r="A111" s="10">
        <v>2014</v>
      </c>
      <c r="B111" s="11" t="s">
        <v>483</v>
      </c>
      <c r="C111" s="11" t="s">
        <v>484</v>
      </c>
      <c r="D111" s="12">
        <v>1015042</v>
      </c>
      <c r="E111" s="12">
        <v>2</v>
      </c>
      <c r="F111" s="12"/>
      <c r="G111" s="12">
        <v>700</v>
      </c>
      <c r="H111" s="12">
        <v>12.2</v>
      </c>
      <c r="I111" s="12"/>
      <c r="J111" s="12" t="s">
        <v>103</v>
      </c>
      <c r="K111" s="12" t="b">
        <v>0</v>
      </c>
      <c r="L111" s="12">
        <v>2</v>
      </c>
      <c r="M111" s="8">
        <v>2016</v>
      </c>
      <c r="N111" s="9">
        <v>993396</v>
      </c>
      <c r="O111" s="9">
        <v>1913243.57</v>
      </c>
      <c r="P111" s="9">
        <v>779500</v>
      </c>
      <c r="Q111" s="9">
        <v>279500</v>
      </c>
      <c r="R111" s="13">
        <v>41815</v>
      </c>
      <c r="S111" s="13">
        <v>41815</v>
      </c>
    </row>
    <row r="112" spans="1:19">
      <c r="A112" s="10">
        <v>2014</v>
      </c>
      <c r="B112" s="11" t="s">
        <v>483</v>
      </c>
      <c r="C112" s="11" t="s">
        <v>484</v>
      </c>
      <c r="D112" s="12">
        <v>1015042</v>
      </c>
      <c r="E112" s="12">
        <v>2</v>
      </c>
      <c r="F112" s="12"/>
      <c r="G112" s="12">
        <v>230</v>
      </c>
      <c r="H112" s="12" t="s">
        <v>67</v>
      </c>
      <c r="I112" s="12"/>
      <c r="J112" s="12" t="s">
        <v>68</v>
      </c>
      <c r="K112" s="12" t="b">
        <v>0</v>
      </c>
      <c r="L112" s="12">
        <v>6</v>
      </c>
      <c r="M112" s="8">
        <v>2020</v>
      </c>
      <c r="N112" s="9">
        <v>0</v>
      </c>
      <c r="O112" s="9">
        <v>0</v>
      </c>
      <c r="P112" s="9">
        <v>0</v>
      </c>
      <c r="Q112" s="9">
        <v>0</v>
      </c>
      <c r="R112" s="13">
        <v>41815</v>
      </c>
      <c r="S112" s="13">
        <v>41815</v>
      </c>
    </row>
    <row r="113" spans="1:19">
      <c r="A113" s="10">
        <v>2014</v>
      </c>
      <c r="B113" s="11" t="s">
        <v>483</v>
      </c>
      <c r="C113" s="11" t="s">
        <v>484</v>
      </c>
      <c r="D113" s="12">
        <v>1015042</v>
      </c>
      <c r="E113" s="12">
        <v>2</v>
      </c>
      <c r="F113" s="12"/>
      <c r="G113" s="12">
        <v>230</v>
      </c>
      <c r="H113" s="12" t="s">
        <v>67</v>
      </c>
      <c r="I113" s="12"/>
      <c r="J113" s="12" t="s">
        <v>68</v>
      </c>
      <c r="K113" s="12" t="b">
        <v>0</v>
      </c>
      <c r="L113" s="12">
        <v>4</v>
      </c>
      <c r="M113" s="8">
        <v>2018</v>
      </c>
      <c r="N113" s="9">
        <v>0</v>
      </c>
      <c r="O113" s="9">
        <v>0</v>
      </c>
      <c r="P113" s="9">
        <v>0</v>
      </c>
      <c r="Q113" s="9">
        <v>0</v>
      </c>
      <c r="R113" s="13">
        <v>41815</v>
      </c>
      <c r="S113" s="13">
        <v>41815</v>
      </c>
    </row>
    <row r="114" spans="1:19">
      <c r="A114" s="10">
        <v>2014</v>
      </c>
      <c r="B114" s="11" t="s">
        <v>483</v>
      </c>
      <c r="C114" s="11" t="s">
        <v>484</v>
      </c>
      <c r="D114" s="12">
        <v>1015042</v>
      </c>
      <c r="E114" s="12">
        <v>2</v>
      </c>
      <c r="F114" s="12"/>
      <c r="G114" s="12">
        <v>230</v>
      </c>
      <c r="H114" s="12" t="s">
        <v>67</v>
      </c>
      <c r="I114" s="12"/>
      <c r="J114" s="12" t="s">
        <v>68</v>
      </c>
      <c r="K114" s="12" t="b">
        <v>0</v>
      </c>
      <c r="L114" s="12">
        <v>1</v>
      </c>
      <c r="M114" s="8">
        <v>2015</v>
      </c>
      <c r="N114" s="9">
        <v>0</v>
      </c>
      <c r="O114" s="9">
        <v>0</v>
      </c>
      <c r="P114" s="9">
        <v>0</v>
      </c>
      <c r="Q114" s="9">
        <v>0</v>
      </c>
      <c r="R114" s="13">
        <v>41815</v>
      </c>
      <c r="S114" s="13">
        <v>41815</v>
      </c>
    </row>
    <row r="115" spans="1:19">
      <c r="A115" s="10">
        <v>2014</v>
      </c>
      <c r="B115" s="11" t="s">
        <v>483</v>
      </c>
      <c r="C115" s="11" t="s">
        <v>484</v>
      </c>
      <c r="D115" s="12">
        <v>1015042</v>
      </c>
      <c r="E115" s="12">
        <v>2</v>
      </c>
      <c r="F115" s="12"/>
      <c r="G115" s="12">
        <v>230</v>
      </c>
      <c r="H115" s="12" t="s">
        <v>67</v>
      </c>
      <c r="I115" s="12"/>
      <c r="J115" s="12" t="s">
        <v>68</v>
      </c>
      <c r="K115" s="12" t="b">
        <v>0</v>
      </c>
      <c r="L115" s="12">
        <v>2</v>
      </c>
      <c r="M115" s="8">
        <v>2016</v>
      </c>
      <c r="N115" s="9">
        <v>0</v>
      </c>
      <c r="O115" s="9">
        <v>0</v>
      </c>
      <c r="P115" s="9">
        <v>0</v>
      </c>
      <c r="Q115" s="9">
        <v>0</v>
      </c>
      <c r="R115" s="13">
        <v>41815</v>
      </c>
      <c r="S115" s="13">
        <v>41815</v>
      </c>
    </row>
    <row r="116" spans="1:19">
      <c r="A116" s="10">
        <v>2014</v>
      </c>
      <c r="B116" s="11" t="s">
        <v>483</v>
      </c>
      <c r="C116" s="11" t="s">
        <v>484</v>
      </c>
      <c r="D116" s="12">
        <v>1015042</v>
      </c>
      <c r="E116" s="12">
        <v>2</v>
      </c>
      <c r="F116" s="12"/>
      <c r="G116" s="12">
        <v>230</v>
      </c>
      <c r="H116" s="12" t="s">
        <v>67</v>
      </c>
      <c r="I116" s="12"/>
      <c r="J116" s="12" t="s">
        <v>68</v>
      </c>
      <c r="K116" s="12" t="b">
        <v>0</v>
      </c>
      <c r="L116" s="12">
        <v>5</v>
      </c>
      <c r="M116" s="8">
        <v>2019</v>
      </c>
      <c r="N116" s="9">
        <v>0</v>
      </c>
      <c r="O116" s="9">
        <v>0</v>
      </c>
      <c r="P116" s="9">
        <v>0</v>
      </c>
      <c r="Q116" s="9">
        <v>0</v>
      </c>
      <c r="R116" s="13">
        <v>41815</v>
      </c>
      <c r="S116" s="13">
        <v>41815</v>
      </c>
    </row>
    <row r="117" spans="1:19">
      <c r="A117" s="10">
        <v>2014</v>
      </c>
      <c r="B117" s="11" t="s">
        <v>483</v>
      </c>
      <c r="C117" s="11" t="s">
        <v>484</v>
      </c>
      <c r="D117" s="12">
        <v>1015042</v>
      </c>
      <c r="E117" s="12">
        <v>2</v>
      </c>
      <c r="F117" s="12"/>
      <c r="G117" s="12">
        <v>230</v>
      </c>
      <c r="H117" s="12" t="s">
        <v>67</v>
      </c>
      <c r="I117" s="12"/>
      <c r="J117" s="12" t="s">
        <v>68</v>
      </c>
      <c r="K117" s="12" t="b">
        <v>0</v>
      </c>
      <c r="L117" s="12">
        <v>7</v>
      </c>
      <c r="M117" s="8">
        <v>2021</v>
      </c>
      <c r="N117" s="9">
        <v>0</v>
      </c>
      <c r="O117" s="9">
        <v>0</v>
      </c>
      <c r="P117" s="9">
        <v>0</v>
      </c>
      <c r="Q117" s="9">
        <v>0</v>
      </c>
      <c r="R117" s="13">
        <v>41815</v>
      </c>
      <c r="S117" s="13">
        <v>41815</v>
      </c>
    </row>
    <row r="118" spans="1:19">
      <c r="A118" s="10">
        <v>2014</v>
      </c>
      <c r="B118" s="11" t="s">
        <v>483</v>
      </c>
      <c r="C118" s="11" t="s">
        <v>484</v>
      </c>
      <c r="D118" s="12">
        <v>1015042</v>
      </c>
      <c r="E118" s="12">
        <v>2</v>
      </c>
      <c r="F118" s="12"/>
      <c r="G118" s="12">
        <v>230</v>
      </c>
      <c r="H118" s="12" t="s">
        <v>67</v>
      </c>
      <c r="I118" s="12"/>
      <c r="J118" s="12" t="s">
        <v>68</v>
      </c>
      <c r="K118" s="12" t="b">
        <v>0</v>
      </c>
      <c r="L118" s="12">
        <v>0</v>
      </c>
      <c r="M118" s="8">
        <v>2014</v>
      </c>
      <c r="N118" s="9">
        <v>0</v>
      </c>
      <c r="O118" s="9">
        <v>0</v>
      </c>
      <c r="P118" s="9">
        <v>0</v>
      </c>
      <c r="Q118" s="9">
        <v>0</v>
      </c>
      <c r="R118" s="13">
        <v>41815</v>
      </c>
      <c r="S118" s="13">
        <v>41815</v>
      </c>
    </row>
    <row r="119" spans="1:19">
      <c r="A119" s="10">
        <v>2014</v>
      </c>
      <c r="B119" s="11" t="s">
        <v>483</v>
      </c>
      <c r="C119" s="11" t="s">
        <v>484</v>
      </c>
      <c r="D119" s="12">
        <v>1015042</v>
      </c>
      <c r="E119" s="12">
        <v>2</v>
      </c>
      <c r="F119" s="12"/>
      <c r="G119" s="12">
        <v>230</v>
      </c>
      <c r="H119" s="12" t="s">
        <v>67</v>
      </c>
      <c r="I119" s="12"/>
      <c r="J119" s="12" t="s">
        <v>68</v>
      </c>
      <c r="K119" s="12" t="b">
        <v>0</v>
      </c>
      <c r="L119" s="12">
        <v>3</v>
      </c>
      <c r="M119" s="8">
        <v>2017</v>
      </c>
      <c r="N119" s="9">
        <v>0</v>
      </c>
      <c r="O119" s="9">
        <v>0</v>
      </c>
      <c r="P119" s="9">
        <v>0</v>
      </c>
      <c r="Q119" s="9">
        <v>0</v>
      </c>
      <c r="R119" s="13">
        <v>41815</v>
      </c>
      <c r="S119" s="13">
        <v>41815</v>
      </c>
    </row>
    <row r="120" spans="1:19">
      <c r="A120" s="10">
        <v>2014</v>
      </c>
      <c r="B120" s="11" t="s">
        <v>483</v>
      </c>
      <c r="C120" s="11" t="s">
        <v>484</v>
      </c>
      <c r="D120" s="12">
        <v>1015042</v>
      </c>
      <c r="E120" s="12">
        <v>2</v>
      </c>
      <c r="F120" s="12"/>
      <c r="G120" s="12">
        <v>230</v>
      </c>
      <c r="H120" s="12" t="s">
        <v>67</v>
      </c>
      <c r="I120" s="12"/>
      <c r="J120" s="12" t="s">
        <v>68</v>
      </c>
      <c r="K120" s="12" t="b">
        <v>0</v>
      </c>
      <c r="L120" s="12">
        <v>8</v>
      </c>
      <c r="M120" s="8">
        <v>2022</v>
      </c>
      <c r="N120" s="9">
        <v>0</v>
      </c>
      <c r="O120" s="9">
        <v>0</v>
      </c>
      <c r="P120" s="9">
        <v>0</v>
      </c>
      <c r="Q120" s="9">
        <v>0</v>
      </c>
      <c r="R120" s="13">
        <v>41815</v>
      </c>
      <c r="S120" s="13">
        <v>41815</v>
      </c>
    </row>
    <row r="121" spans="1:19">
      <c r="A121" s="10">
        <v>2014</v>
      </c>
      <c r="B121" s="11" t="s">
        <v>483</v>
      </c>
      <c r="C121" s="11" t="s">
        <v>484</v>
      </c>
      <c r="D121" s="12">
        <v>1015042</v>
      </c>
      <c r="E121" s="12">
        <v>2</v>
      </c>
      <c r="F121" s="12"/>
      <c r="G121" s="12">
        <v>500</v>
      </c>
      <c r="H121" s="12">
        <v>9.4</v>
      </c>
      <c r="I121" s="12" t="s">
        <v>384</v>
      </c>
      <c r="J121" s="12" t="s">
        <v>385</v>
      </c>
      <c r="K121" s="12" t="b">
        <v>0</v>
      </c>
      <c r="L121" s="12">
        <v>2</v>
      </c>
      <c r="M121" s="8">
        <v>2016</v>
      </c>
      <c r="N121" s="9">
        <v>1.34E-2</v>
      </c>
      <c r="O121" s="9">
        <v>7.4300000000000005E-2</v>
      </c>
      <c r="P121" s="9">
        <v>4.7300000000000002E-2</v>
      </c>
      <c r="Q121" s="9">
        <v>4.48E-2</v>
      </c>
      <c r="R121" s="13">
        <v>41815</v>
      </c>
      <c r="S121" s="13">
        <v>41815</v>
      </c>
    </row>
    <row r="122" spans="1:19">
      <c r="A122" s="10">
        <v>2014</v>
      </c>
      <c r="B122" s="11" t="s">
        <v>483</v>
      </c>
      <c r="C122" s="11" t="s">
        <v>484</v>
      </c>
      <c r="D122" s="12">
        <v>1015042</v>
      </c>
      <c r="E122" s="12">
        <v>2</v>
      </c>
      <c r="F122" s="12"/>
      <c r="G122" s="12">
        <v>500</v>
      </c>
      <c r="H122" s="12">
        <v>9.4</v>
      </c>
      <c r="I122" s="12" t="s">
        <v>384</v>
      </c>
      <c r="J122" s="12" t="s">
        <v>385</v>
      </c>
      <c r="K122" s="12" t="b">
        <v>0</v>
      </c>
      <c r="L122" s="12">
        <v>4</v>
      </c>
      <c r="M122" s="8">
        <v>2018</v>
      </c>
      <c r="N122" s="9">
        <v>1.34E-2</v>
      </c>
      <c r="O122" s="9">
        <v>7.4300000000000005E-2</v>
      </c>
      <c r="P122" s="9">
        <v>4.7300000000000002E-2</v>
      </c>
      <c r="Q122" s="9">
        <v>4.48E-2</v>
      </c>
      <c r="R122" s="13">
        <v>41815</v>
      </c>
      <c r="S122" s="13">
        <v>41815</v>
      </c>
    </row>
    <row r="123" spans="1:19">
      <c r="A123" s="10">
        <v>2014</v>
      </c>
      <c r="B123" s="11" t="s">
        <v>483</v>
      </c>
      <c r="C123" s="11" t="s">
        <v>484</v>
      </c>
      <c r="D123" s="12">
        <v>1015042</v>
      </c>
      <c r="E123" s="12">
        <v>2</v>
      </c>
      <c r="F123" s="12"/>
      <c r="G123" s="12">
        <v>500</v>
      </c>
      <c r="H123" s="12">
        <v>9.4</v>
      </c>
      <c r="I123" s="12" t="s">
        <v>384</v>
      </c>
      <c r="J123" s="12" t="s">
        <v>385</v>
      </c>
      <c r="K123" s="12" t="b">
        <v>0</v>
      </c>
      <c r="L123" s="12">
        <v>8</v>
      </c>
      <c r="M123" s="8">
        <v>2022</v>
      </c>
      <c r="N123" s="9">
        <v>1.34E-2</v>
      </c>
      <c r="O123" s="9">
        <v>7.4300000000000005E-2</v>
      </c>
      <c r="P123" s="9">
        <v>4.7300000000000002E-2</v>
      </c>
      <c r="Q123" s="9">
        <v>4.48E-2</v>
      </c>
      <c r="R123" s="13">
        <v>41815</v>
      </c>
      <c r="S123" s="13">
        <v>41815</v>
      </c>
    </row>
    <row r="124" spans="1:19">
      <c r="A124" s="10">
        <v>2014</v>
      </c>
      <c r="B124" s="11" t="s">
        <v>483</v>
      </c>
      <c r="C124" s="11" t="s">
        <v>484</v>
      </c>
      <c r="D124" s="12">
        <v>1015042</v>
      </c>
      <c r="E124" s="12">
        <v>2</v>
      </c>
      <c r="F124" s="12"/>
      <c r="G124" s="12">
        <v>500</v>
      </c>
      <c r="H124" s="12">
        <v>9.4</v>
      </c>
      <c r="I124" s="12" t="s">
        <v>384</v>
      </c>
      <c r="J124" s="12" t="s">
        <v>385</v>
      </c>
      <c r="K124" s="12" t="b">
        <v>0</v>
      </c>
      <c r="L124" s="12">
        <v>6</v>
      </c>
      <c r="M124" s="8">
        <v>2020</v>
      </c>
      <c r="N124" s="9">
        <v>1.34E-2</v>
      </c>
      <c r="O124" s="9">
        <v>7.4300000000000005E-2</v>
      </c>
      <c r="P124" s="9">
        <v>4.7300000000000002E-2</v>
      </c>
      <c r="Q124" s="9">
        <v>4.48E-2</v>
      </c>
      <c r="R124" s="13">
        <v>41815</v>
      </c>
      <c r="S124" s="13">
        <v>41815</v>
      </c>
    </row>
    <row r="125" spans="1:19">
      <c r="A125" s="10">
        <v>2014</v>
      </c>
      <c r="B125" s="11" t="s">
        <v>483</v>
      </c>
      <c r="C125" s="11" t="s">
        <v>484</v>
      </c>
      <c r="D125" s="12">
        <v>1015042</v>
      </c>
      <c r="E125" s="12">
        <v>2</v>
      </c>
      <c r="F125" s="12"/>
      <c r="G125" s="12">
        <v>500</v>
      </c>
      <c r="H125" s="12">
        <v>9.4</v>
      </c>
      <c r="I125" s="12" t="s">
        <v>384</v>
      </c>
      <c r="J125" s="12" t="s">
        <v>385</v>
      </c>
      <c r="K125" s="12" t="b">
        <v>0</v>
      </c>
      <c r="L125" s="12">
        <v>5</v>
      </c>
      <c r="M125" s="8">
        <v>2019</v>
      </c>
      <c r="N125" s="9">
        <v>1.34E-2</v>
      </c>
      <c r="O125" s="9">
        <v>7.4300000000000005E-2</v>
      </c>
      <c r="P125" s="9">
        <v>4.7300000000000002E-2</v>
      </c>
      <c r="Q125" s="9">
        <v>4.48E-2</v>
      </c>
      <c r="R125" s="13">
        <v>41815</v>
      </c>
      <c r="S125" s="13">
        <v>41815</v>
      </c>
    </row>
    <row r="126" spans="1:19">
      <c r="A126" s="10">
        <v>2014</v>
      </c>
      <c r="B126" s="11" t="s">
        <v>483</v>
      </c>
      <c r="C126" s="11" t="s">
        <v>484</v>
      </c>
      <c r="D126" s="12">
        <v>1015042</v>
      </c>
      <c r="E126" s="12">
        <v>2</v>
      </c>
      <c r="F126" s="12"/>
      <c r="G126" s="12">
        <v>500</v>
      </c>
      <c r="H126" s="12">
        <v>9.4</v>
      </c>
      <c r="I126" s="12" t="s">
        <v>384</v>
      </c>
      <c r="J126" s="12" t="s">
        <v>385</v>
      </c>
      <c r="K126" s="12" t="b">
        <v>0</v>
      </c>
      <c r="L126" s="12">
        <v>1</v>
      </c>
      <c r="M126" s="8">
        <v>2015</v>
      </c>
      <c r="N126" s="9">
        <v>1.34E-2</v>
      </c>
      <c r="O126" s="9">
        <v>7.4300000000000005E-2</v>
      </c>
      <c r="P126" s="9">
        <v>4.7300000000000002E-2</v>
      </c>
      <c r="Q126" s="9">
        <v>4.48E-2</v>
      </c>
      <c r="R126" s="13">
        <v>41815</v>
      </c>
      <c r="S126" s="13">
        <v>41815</v>
      </c>
    </row>
    <row r="127" spans="1:19">
      <c r="A127" s="10">
        <v>2014</v>
      </c>
      <c r="B127" s="11" t="s">
        <v>483</v>
      </c>
      <c r="C127" s="11" t="s">
        <v>484</v>
      </c>
      <c r="D127" s="12">
        <v>1015042</v>
      </c>
      <c r="E127" s="12">
        <v>2</v>
      </c>
      <c r="F127" s="12"/>
      <c r="G127" s="12">
        <v>500</v>
      </c>
      <c r="H127" s="12">
        <v>9.4</v>
      </c>
      <c r="I127" s="12" t="s">
        <v>384</v>
      </c>
      <c r="J127" s="12" t="s">
        <v>385</v>
      </c>
      <c r="K127" s="12" t="b">
        <v>0</v>
      </c>
      <c r="L127" s="12">
        <v>3</v>
      </c>
      <c r="M127" s="8">
        <v>2017</v>
      </c>
      <c r="N127" s="9">
        <v>1.34E-2</v>
      </c>
      <c r="O127" s="9">
        <v>7.4300000000000005E-2</v>
      </c>
      <c r="P127" s="9">
        <v>4.7300000000000002E-2</v>
      </c>
      <c r="Q127" s="9">
        <v>4.48E-2</v>
      </c>
      <c r="R127" s="13">
        <v>41815</v>
      </c>
      <c r="S127" s="13">
        <v>41815</v>
      </c>
    </row>
    <row r="128" spans="1:19">
      <c r="A128" s="10">
        <v>2014</v>
      </c>
      <c r="B128" s="11" t="s">
        <v>483</v>
      </c>
      <c r="C128" s="11" t="s">
        <v>484</v>
      </c>
      <c r="D128" s="12">
        <v>1015042</v>
      </c>
      <c r="E128" s="12">
        <v>2</v>
      </c>
      <c r="F128" s="12"/>
      <c r="G128" s="12">
        <v>500</v>
      </c>
      <c r="H128" s="12">
        <v>9.4</v>
      </c>
      <c r="I128" s="12" t="s">
        <v>384</v>
      </c>
      <c r="J128" s="12" t="s">
        <v>385</v>
      </c>
      <c r="K128" s="12" t="b">
        <v>0</v>
      </c>
      <c r="L128" s="12">
        <v>7</v>
      </c>
      <c r="M128" s="8">
        <v>2021</v>
      </c>
      <c r="N128" s="9">
        <v>1.34E-2</v>
      </c>
      <c r="O128" s="9">
        <v>7.4300000000000005E-2</v>
      </c>
      <c r="P128" s="9">
        <v>4.7300000000000002E-2</v>
      </c>
      <c r="Q128" s="9">
        <v>4.48E-2</v>
      </c>
      <c r="R128" s="13">
        <v>41815</v>
      </c>
      <c r="S128" s="13">
        <v>41815</v>
      </c>
    </row>
    <row r="129" spans="1:19">
      <c r="A129" s="10">
        <v>2014</v>
      </c>
      <c r="B129" s="11" t="s">
        <v>483</v>
      </c>
      <c r="C129" s="11" t="s">
        <v>484</v>
      </c>
      <c r="D129" s="12">
        <v>1015042</v>
      </c>
      <c r="E129" s="12">
        <v>2</v>
      </c>
      <c r="F129" s="12"/>
      <c r="G129" s="12">
        <v>500</v>
      </c>
      <c r="H129" s="12">
        <v>9.4</v>
      </c>
      <c r="I129" s="12" t="s">
        <v>384</v>
      </c>
      <c r="J129" s="12" t="s">
        <v>385</v>
      </c>
      <c r="K129" s="12" t="b">
        <v>0</v>
      </c>
      <c r="L129" s="12">
        <v>0</v>
      </c>
      <c r="M129" s="8">
        <v>2014</v>
      </c>
      <c r="N129" s="9">
        <v>1.34E-2</v>
      </c>
      <c r="O129" s="9">
        <v>7.4300000000000005E-2</v>
      </c>
      <c r="P129" s="9">
        <v>4.7300000000000002E-2</v>
      </c>
      <c r="Q129" s="9">
        <v>4.48E-2</v>
      </c>
      <c r="R129" s="13">
        <v>41815</v>
      </c>
      <c r="S129" s="13">
        <v>41815</v>
      </c>
    </row>
    <row r="130" spans="1:19">
      <c r="A130" s="10">
        <v>2014</v>
      </c>
      <c r="B130" s="11" t="s">
        <v>483</v>
      </c>
      <c r="C130" s="11" t="s">
        <v>484</v>
      </c>
      <c r="D130" s="12">
        <v>1015042</v>
      </c>
      <c r="E130" s="12">
        <v>2</v>
      </c>
      <c r="F130" s="12"/>
      <c r="G130" s="12">
        <v>710</v>
      </c>
      <c r="H130" s="12" t="s">
        <v>104</v>
      </c>
      <c r="I130" s="12"/>
      <c r="J130" s="12" t="s">
        <v>105</v>
      </c>
      <c r="K130" s="12" t="b">
        <v>0</v>
      </c>
      <c r="L130" s="12">
        <v>2</v>
      </c>
      <c r="M130" s="8">
        <v>2016</v>
      </c>
      <c r="N130" s="9">
        <v>993396</v>
      </c>
      <c r="O130" s="9">
        <v>1696815.57</v>
      </c>
      <c r="P130" s="9">
        <v>779500</v>
      </c>
      <c r="Q130" s="9">
        <v>279500</v>
      </c>
      <c r="R130" s="13">
        <v>41815</v>
      </c>
      <c r="S130" s="13">
        <v>41815</v>
      </c>
    </row>
    <row r="131" spans="1:19">
      <c r="A131" s="10">
        <v>2014</v>
      </c>
      <c r="B131" s="11" t="s">
        <v>483</v>
      </c>
      <c r="C131" s="11" t="s">
        <v>484</v>
      </c>
      <c r="D131" s="12">
        <v>1015042</v>
      </c>
      <c r="E131" s="12">
        <v>2</v>
      </c>
      <c r="F131" s="12"/>
      <c r="G131" s="12">
        <v>710</v>
      </c>
      <c r="H131" s="12" t="s">
        <v>104</v>
      </c>
      <c r="I131" s="12"/>
      <c r="J131" s="12" t="s">
        <v>105</v>
      </c>
      <c r="K131" s="12" t="b">
        <v>0</v>
      </c>
      <c r="L131" s="12">
        <v>7</v>
      </c>
      <c r="M131" s="8">
        <v>2021</v>
      </c>
      <c r="N131" s="9">
        <v>993396</v>
      </c>
      <c r="O131" s="9">
        <v>1696815.57</v>
      </c>
      <c r="P131" s="9">
        <v>779500</v>
      </c>
      <c r="Q131" s="9">
        <v>279500</v>
      </c>
      <c r="R131" s="13">
        <v>41815</v>
      </c>
      <c r="S131" s="13">
        <v>41815</v>
      </c>
    </row>
    <row r="132" spans="1:19">
      <c r="A132" s="10">
        <v>2014</v>
      </c>
      <c r="B132" s="11" t="s">
        <v>483</v>
      </c>
      <c r="C132" s="11" t="s">
        <v>484</v>
      </c>
      <c r="D132" s="12">
        <v>1015042</v>
      </c>
      <c r="E132" s="12">
        <v>2</v>
      </c>
      <c r="F132" s="12"/>
      <c r="G132" s="12">
        <v>710</v>
      </c>
      <c r="H132" s="12" t="s">
        <v>104</v>
      </c>
      <c r="I132" s="12"/>
      <c r="J132" s="12" t="s">
        <v>105</v>
      </c>
      <c r="K132" s="12" t="b">
        <v>0</v>
      </c>
      <c r="L132" s="12">
        <v>1</v>
      </c>
      <c r="M132" s="8">
        <v>2015</v>
      </c>
      <c r="N132" s="9">
        <v>993396</v>
      </c>
      <c r="O132" s="9">
        <v>1696815.57</v>
      </c>
      <c r="P132" s="9">
        <v>779500</v>
      </c>
      <c r="Q132" s="9">
        <v>279500</v>
      </c>
      <c r="R132" s="13">
        <v>41815</v>
      </c>
      <c r="S132" s="13">
        <v>41815</v>
      </c>
    </row>
    <row r="133" spans="1:19">
      <c r="A133" s="10">
        <v>2014</v>
      </c>
      <c r="B133" s="11" t="s">
        <v>483</v>
      </c>
      <c r="C133" s="11" t="s">
        <v>484</v>
      </c>
      <c r="D133" s="12">
        <v>1015042</v>
      </c>
      <c r="E133" s="12">
        <v>2</v>
      </c>
      <c r="F133" s="12"/>
      <c r="G133" s="12">
        <v>710</v>
      </c>
      <c r="H133" s="12" t="s">
        <v>104</v>
      </c>
      <c r="I133" s="12"/>
      <c r="J133" s="12" t="s">
        <v>105</v>
      </c>
      <c r="K133" s="12" t="b">
        <v>0</v>
      </c>
      <c r="L133" s="12">
        <v>0</v>
      </c>
      <c r="M133" s="8">
        <v>2014</v>
      </c>
      <c r="N133" s="9">
        <v>993396</v>
      </c>
      <c r="O133" s="9">
        <v>1696815.57</v>
      </c>
      <c r="P133" s="9">
        <v>779500</v>
      </c>
      <c r="Q133" s="9">
        <v>279500</v>
      </c>
      <c r="R133" s="13">
        <v>41815</v>
      </c>
      <c r="S133" s="13">
        <v>41815</v>
      </c>
    </row>
    <row r="134" spans="1:19">
      <c r="A134" s="10">
        <v>2014</v>
      </c>
      <c r="B134" s="11" t="s">
        <v>483</v>
      </c>
      <c r="C134" s="11" t="s">
        <v>484</v>
      </c>
      <c r="D134" s="12">
        <v>1015042</v>
      </c>
      <c r="E134" s="12">
        <v>2</v>
      </c>
      <c r="F134" s="12"/>
      <c r="G134" s="12">
        <v>710</v>
      </c>
      <c r="H134" s="12" t="s">
        <v>104</v>
      </c>
      <c r="I134" s="12"/>
      <c r="J134" s="12" t="s">
        <v>105</v>
      </c>
      <c r="K134" s="12" t="b">
        <v>0</v>
      </c>
      <c r="L134" s="12">
        <v>4</v>
      </c>
      <c r="M134" s="8">
        <v>2018</v>
      </c>
      <c r="N134" s="9">
        <v>993396</v>
      </c>
      <c r="O134" s="9">
        <v>1696815.57</v>
      </c>
      <c r="P134" s="9">
        <v>779500</v>
      </c>
      <c r="Q134" s="9">
        <v>279500</v>
      </c>
      <c r="R134" s="13">
        <v>41815</v>
      </c>
      <c r="S134" s="13">
        <v>41815</v>
      </c>
    </row>
    <row r="135" spans="1:19">
      <c r="A135" s="10">
        <v>2014</v>
      </c>
      <c r="B135" s="11" t="s">
        <v>483</v>
      </c>
      <c r="C135" s="11" t="s">
        <v>484</v>
      </c>
      <c r="D135" s="12">
        <v>1015042</v>
      </c>
      <c r="E135" s="12">
        <v>2</v>
      </c>
      <c r="F135" s="12"/>
      <c r="G135" s="12">
        <v>710</v>
      </c>
      <c r="H135" s="12" t="s">
        <v>104</v>
      </c>
      <c r="I135" s="12"/>
      <c r="J135" s="12" t="s">
        <v>105</v>
      </c>
      <c r="K135" s="12" t="b">
        <v>0</v>
      </c>
      <c r="L135" s="12">
        <v>8</v>
      </c>
      <c r="M135" s="8">
        <v>2022</v>
      </c>
      <c r="N135" s="9">
        <v>993396</v>
      </c>
      <c r="O135" s="9">
        <v>1696815.57</v>
      </c>
      <c r="P135" s="9">
        <v>779500</v>
      </c>
      <c r="Q135" s="9">
        <v>279500</v>
      </c>
      <c r="R135" s="13">
        <v>41815</v>
      </c>
      <c r="S135" s="13">
        <v>41815</v>
      </c>
    </row>
    <row r="136" spans="1:19">
      <c r="A136" s="10">
        <v>2014</v>
      </c>
      <c r="B136" s="11" t="s">
        <v>483</v>
      </c>
      <c r="C136" s="11" t="s">
        <v>484</v>
      </c>
      <c r="D136" s="12">
        <v>1015042</v>
      </c>
      <c r="E136" s="12">
        <v>2</v>
      </c>
      <c r="F136" s="12"/>
      <c r="G136" s="12">
        <v>710</v>
      </c>
      <c r="H136" s="12" t="s">
        <v>104</v>
      </c>
      <c r="I136" s="12"/>
      <c r="J136" s="12" t="s">
        <v>105</v>
      </c>
      <c r="K136" s="12" t="b">
        <v>0</v>
      </c>
      <c r="L136" s="12">
        <v>6</v>
      </c>
      <c r="M136" s="8">
        <v>2020</v>
      </c>
      <c r="N136" s="9">
        <v>993396</v>
      </c>
      <c r="O136" s="9">
        <v>1696815.57</v>
      </c>
      <c r="P136" s="9">
        <v>779500</v>
      </c>
      <c r="Q136" s="9">
        <v>279500</v>
      </c>
      <c r="R136" s="13">
        <v>41815</v>
      </c>
      <c r="S136" s="13">
        <v>41815</v>
      </c>
    </row>
    <row r="137" spans="1:19">
      <c r="A137" s="10">
        <v>2014</v>
      </c>
      <c r="B137" s="11" t="s">
        <v>483</v>
      </c>
      <c r="C137" s="11" t="s">
        <v>484</v>
      </c>
      <c r="D137" s="12">
        <v>1015042</v>
      </c>
      <c r="E137" s="12">
        <v>2</v>
      </c>
      <c r="F137" s="12"/>
      <c r="G137" s="12">
        <v>710</v>
      </c>
      <c r="H137" s="12" t="s">
        <v>104</v>
      </c>
      <c r="I137" s="12"/>
      <c r="J137" s="12" t="s">
        <v>105</v>
      </c>
      <c r="K137" s="12" t="b">
        <v>0</v>
      </c>
      <c r="L137" s="12">
        <v>5</v>
      </c>
      <c r="M137" s="8">
        <v>2019</v>
      </c>
      <c r="N137" s="9">
        <v>993396</v>
      </c>
      <c r="O137" s="9">
        <v>1696815.57</v>
      </c>
      <c r="P137" s="9">
        <v>779500</v>
      </c>
      <c r="Q137" s="9">
        <v>279500</v>
      </c>
      <c r="R137" s="13">
        <v>41815</v>
      </c>
      <c r="S137" s="13">
        <v>41815</v>
      </c>
    </row>
    <row r="138" spans="1:19">
      <c r="A138" s="10">
        <v>2014</v>
      </c>
      <c r="B138" s="11" t="s">
        <v>483</v>
      </c>
      <c r="C138" s="11" t="s">
        <v>484</v>
      </c>
      <c r="D138" s="12">
        <v>1015042</v>
      </c>
      <c r="E138" s="12">
        <v>2</v>
      </c>
      <c r="F138" s="12"/>
      <c r="G138" s="12">
        <v>710</v>
      </c>
      <c r="H138" s="12" t="s">
        <v>104</v>
      </c>
      <c r="I138" s="12"/>
      <c r="J138" s="12" t="s">
        <v>105</v>
      </c>
      <c r="K138" s="12" t="b">
        <v>0</v>
      </c>
      <c r="L138" s="12">
        <v>3</v>
      </c>
      <c r="M138" s="8">
        <v>2017</v>
      </c>
      <c r="N138" s="9">
        <v>993396</v>
      </c>
      <c r="O138" s="9">
        <v>1696815.57</v>
      </c>
      <c r="P138" s="9">
        <v>779500</v>
      </c>
      <c r="Q138" s="9">
        <v>279500</v>
      </c>
      <c r="R138" s="13">
        <v>41815</v>
      </c>
      <c r="S138" s="13">
        <v>41815</v>
      </c>
    </row>
    <row r="139" spans="1:19">
      <c r="A139" s="10">
        <v>2014</v>
      </c>
      <c r="B139" s="11" t="s">
        <v>483</v>
      </c>
      <c r="C139" s="11" t="s">
        <v>484</v>
      </c>
      <c r="D139" s="12">
        <v>1015042</v>
      </c>
      <c r="E139" s="12">
        <v>2</v>
      </c>
      <c r="F139" s="12"/>
      <c r="G139" s="12">
        <v>630</v>
      </c>
      <c r="H139" s="12">
        <v>11.4</v>
      </c>
      <c r="I139" s="12"/>
      <c r="J139" s="12" t="s">
        <v>94</v>
      </c>
      <c r="K139" s="12" t="b">
        <v>1</v>
      </c>
      <c r="L139" s="12">
        <v>3</v>
      </c>
      <c r="M139" s="8">
        <v>2017</v>
      </c>
      <c r="N139" s="9">
        <v>1640525.13</v>
      </c>
      <c r="O139" s="9">
        <v>935901.85</v>
      </c>
      <c r="P139" s="9">
        <v>2317470</v>
      </c>
      <c r="Q139" s="9">
        <v>2221796.17</v>
      </c>
      <c r="R139" s="13">
        <v>41815</v>
      </c>
      <c r="S139" s="13">
        <v>41815</v>
      </c>
    </row>
    <row r="140" spans="1:19">
      <c r="A140" s="10">
        <v>2014</v>
      </c>
      <c r="B140" s="11" t="s">
        <v>483</v>
      </c>
      <c r="C140" s="11" t="s">
        <v>484</v>
      </c>
      <c r="D140" s="12">
        <v>1015042</v>
      </c>
      <c r="E140" s="12">
        <v>2</v>
      </c>
      <c r="F140" s="12"/>
      <c r="G140" s="12">
        <v>630</v>
      </c>
      <c r="H140" s="12">
        <v>11.4</v>
      </c>
      <c r="I140" s="12"/>
      <c r="J140" s="12" t="s">
        <v>94</v>
      </c>
      <c r="K140" s="12" t="b">
        <v>1</v>
      </c>
      <c r="L140" s="12">
        <v>8</v>
      </c>
      <c r="M140" s="8">
        <v>2022</v>
      </c>
      <c r="N140" s="9">
        <v>1640525.13</v>
      </c>
      <c r="O140" s="9">
        <v>935901.85</v>
      </c>
      <c r="P140" s="9">
        <v>2317470</v>
      </c>
      <c r="Q140" s="9">
        <v>2221796.17</v>
      </c>
      <c r="R140" s="13">
        <v>41815</v>
      </c>
      <c r="S140" s="13">
        <v>41815</v>
      </c>
    </row>
    <row r="141" spans="1:19">
      <c r="A141" s="10">
        <v>2014</v>
      </c>
      <c r="B141" s="11" t="s">
        <v>483</v>
      </c>
      <c r="C141" s="11" t="s">
        <v>484</v>
      </c>
      <c r="D141" s="12">
        <v>1015042</v>
      </c>
      <c r="E141" s="12">
        <v>2</v>
      </c>
      <c r="F141" s="12"/>
      <c r="G141" s="12">
        <v>630</v>
      </c>
      <c r="H141" s="12">
        <v>11.4</v>
      </c>
      <c r="I141" s="12"/>
      <c r="J141" s="12" t="s">
        <v>94</v>
      </c>
      <c r="K141" s="12" t="b">
        <v>1</v>
      </c>
      <c r="L141" s="12">
        <v>7</v>
      </c>
      <c r="M141" s="8">
        <v>2021</v>
      </c>
      <c r="N141" s="9">
        <v>1640525.13</v>
      </c>
      <c r="O141" s="9">
        <v>935901.85</v>
      </c>
      <c r="P141" s="9">
        <v>2317470</v>
      </c>
      <c r="Q141" s="9">
        <v>2221796.17</v>
      </c>
      <c r="R141" s="13">
        <v>41815</v>
      </c>
      <c r="S141" s="13">
        <v>41815</v>
      </c>
    </row>
    <row r="142" spans="1:19">
      <c r="A142" s="10">
        <v>2014</v>
      </c>
      <c r="B142" s="11" t="s">
        <v>483</v>
      </c>
      <c r="C142" s="11" t="s">
        <v>484</v>
      </c>
      <c r="D142" s="12">
        <v>1015042</v>
      </c>
      <c r="E142" s="12">
        <v>2</v>
      </c>
      <c r="F142" s="12"/>
      <c r="G142" s="12">
        <v>630</v>
      </c>
      <c r="H142" s="12">
        <v>11.4</v>
      </c>
      <c r="I142" s="12"/>
      <c r="J142" s="12" t="s">
        <v>94</v>
      </c>
      <c r="K142" s="12" t="b">
        <v>1</v>
      </c>
      <c r="L142" s="12">
        <v>2</v>
      </c>
      <c r="M142" s="8">
        <v>2016</v>
      </c>
      <c r="N142" s="9">
        <v>1640525.13</v>
      </c>
      <c r="O142" s="9">
        <v>935901.85</v>
      </c>
      <c r="P142" s="9">
        <v>2317470</v>
      </c>
      <c r="Q142" s="9">
        <v>2221796.17</v>
      </c>
      <c r="R142" s="13">
        <v>41815</v>
      </c>
      <c r="S142" s="13">
        <v>41815</v>
      </c>
    </row>
    <row r="143" spans="1:19">
      <c r="A143" s="10">
        <v>2014</v>
      </c>
      <c r="B143" s="11" t="s">
        <v>483</v>
      </c>
      <c r="C143" s="11" t="s">
        <v>484</v>
      </c>
      <c r="D143" s="12">
        <v>1015042</v>
      </c>
      <c r="E143" s="12">
        <v>2</v>
      </c>
      <c r="F143" s="12"/>
      <c r="G143" s="12">
        <v>630</v>
      </c>
      <c r="H143" s="12">
        <v>11.4</v>
      </c>
      <c r="I143" s="12"/>
      <c r="J143" s="12" t="s">
        <v>94</v>
      </c>
      <c r="K143" s="12" t="b">
        <v>1</v>
      </c>
      <c r="L143" s="12">
        <v>4</v>
      </c>
      <c r="M143" s="8">
        <v>2018</v>
      </c>
      <c r="N143" s="9">
        <v>1640525.13</v>
      </c>
      <c r="O143" s="9">
        <v>935901.85</v>
      </c>
      <c r="P143" s="9">
        <v>2317470</v>
      </c>
      <c r="Q143" s="9">
        <v>2221796.17</v>
      </c>
      <c r="R143" s="13">
        <v>41815</v>
      </c>
      <c r="S143" s="13">
        <v>41815</v>
      </c>
    </row>
    <row r="144" spans="1:19">
      <c r="A144" s="10">
        <v>2014</v>
      </c>
      <c r="B144" s="11" t="s">
        <v>483</v>
      </c>
      <c r="C144" s="11" t="s">
        <v>484</v>
      </c>
      <c r="D144" s="12">
        <v>1015042</v>
      </c>
      <c r="E144" s="12">
        <v>2</v>
      </c>
      <c r="F144" s="12"/>
      <c r="G144" s="12">
        <v>630</v>
      </c>
      <c r="H144" s="12">
        <v>11.4</v>
      </c>
      <c r="I144" s="12"/>
      <c r="J144" s="12" t="s">
        <v>94</v>
      </c>
      <c r="K144" s="12" t="b">
        <v>1</v>
      </c>
      <c r="L144" s="12">
        <v>0</v>
      </c>
      <c r="M144" s="8">
        <v>2014</v>
      </c>
      <c r="N144" s="9">
        <v>1640525.13</v>
      </c>
      <c r="O144" s="9">
        <v>935901.85</v>
      </c>
      <c r="P144" s="9">
        <v>2317470</v>
      </c>
      <c r="Q144" s="9">
        <v>2221796.17</v>
      </c>
      <c r="R144" s="13">
        <v>41815</v>
      </c>
      <c r="S144" s="13">
        <v>41815</v>
      </c>
    </row>
    <row r="145" spans="1:19">
      <c r="A145" s="10">
        <v>2014</v>
      </c>
      <c r="B145" s="11" t="s">
        <v>483</v>
      </c>
      <c r="C145" s="11" t="s">
        <v>484</v>
      </c>
      <c r="D145" s="12">
        <v>1015042</v>
      </c>
      <c r="E145" s="12">
        <v>2</v>
      </c>
      <c r="F145" s="12"/>
      <c r="G145" s="12">
        <v>630</v>
      </c>
      <c r="H145" s="12">
        <v>11.4</v>
      </c>
      <c r="I145" s="12"/>
      <c r="J145" s="12" t="s">
        <v>94</v>
      </c>
      <c r="K145" s="12" t="b">
        <v>1</v>
      </c>
      <c r="L145" s="12">
        <v>5</v>
      </c>
      <c r="M145" s="8">
        <v>2019</v>
      </c>
      <c r="N145" s="9">
        <v>1640525.13</v>
      </c>
      <c r="O145" s="9">
        <v>935901.85</v>
      </c>
      <c r="P145" s="9">
        <v>2317470</v>
      </c>
      <c r="Q145" s="9">
        <v>2221796.17</v>
      </c>
      <c r="R145" s="13">
        <v>41815</v>
      </c>
      <c r="S145" s="13">
        <v>41815</v>
      </c>
    </row>
    <row r="146" spans="1:19">
      <c r="A146" s="10">
        <v>2014</v>
      </c>
      <c r="B146" s="11" t="s">
        <v>483</v>
      </c>
      <c r="C146" s="11" t="s">
        <v>484</v>
      </c>
      <c r="D146" s="12">
        <v>1015042</v>
      </c>
      <c r="E146" s="12">
        <v>2</v>
      </c>
      <c r="F146" s="12"/>
      <c r="G146" s="12">
        <v>630</v>
      </c>
      <c r="H146" s="12">
        <v>11.4</v>
      </c>
      <c r="I146" s="12"/>
      <c r="J146" s="12" t="s">
        <v>94</v>
      </c>
      <c r="K146" s="12" t="b">
        <v>1</v>
      </c>
      <c r="L146" s="12">
        <v>6</v>
      </c>
      <c r="M146" s="8">
        <v>2020</v>
      </c>
      <c r="N146" s="9">
        <v>1640525.13</v>
      </c>
      <c r="O146" s="9">
        <v>935901.85</v>
      </c>
      <c r="P146" s="9">
        <v>2317470</v>
      </c>
      <c r="Q146" s="9">
        <v>2221796.17</v>
      </c>
      <c r="R146" s="13">
        <v>41815</v>
      </c>
      <c r="S146" s="13">
        <v>41815</v>
      </c>
    </row>
    <row r="147" spans="1:19">
      <c r="A147" s="10">
        <v>2014</v>
      </c>
      <c r="B147" s="11" t="s">
        <v>483</v>
      </c>
      <c r="C147" s="11" t="s">
        <v>484</v>
      </c>
      <c r="D147" s="12">
        <v>1015042</v>
      </c>
      <c r="E147" s="12">
        <v>2</v>
      </c>
      <c r="F147" s="12"/>
      <c r="G147" s="12">
        <v>630</v>
      </c>
      <c r="H147" s="12">
        <v>11.4</v>
      </c>
      <c r="I147" s="12"/>
      <c r="J147" s="12" t="s">
        <v>94</v>
      </c>
      <c r="K147" s="12" t="b">
        <v>1</v>
      </c>
      <c r="L147" s="12">
        <v>1</v>
      </c>
      <c r="M147" s="8">
        <v>2015</v>
      </c>
      <c r="N147" s="9">
        <v>1640525.13</v>
      </c>
      <c r="O147" s="9">
        <v>935901.85</v>
      </c>
      <c r="P147" s="9">
        <v>2317470</v>
      </c>
      <c r="Q147" s="9">
        <v>2221796.17</v>
      </c>
      <c r="R147" s="13">
        <v>41815</v>
      </c>
      <c r="S147" s="13">
        <v>41815</v>
      </c>
    </row>
    <row r="148" spans="1:19">
      <c r="A148" s="10">
        <v>2014</v>
      </c>
      <c r="B148" s="11" t="s">
        <v>483</v>
      </c>
      <c r="C148" s="11" t="s">
        <v>484</v>
      </c>
      <c r="D148" s="12">
        <v>1015042</v>
      </c>
      <c r="E148" s="12">
        <v>2</v>
      </c>
      <c r="F148" s="12"/>
      <c r="G148" s="12">
        <v>420</v>
      </c>
      <c r="H148" s="12">
        <v>8.1</v>
      </c>
      <c r="I148" s="12" t="s">
        <v>376</v>
      </c>
      <c r="J148" s="12" t="s">
        <v>82</v>
      </c>
      <c r="K148" s="12" t="b">
        <v>0</v>
      </c>
      <c r="L148" s="12">
        <v>6</v>
      </c>
      <c r="M148" s="8">
        <v>2020</v>
      </c>
      <c r="N148" s="9">
        <v>459213.52</v>
      </c>
      <c r="O148" s="9">
        <v>1151023.1000000001</v>
      </c>
      <c r="P148" s="9">
        <v>136005.45000000001</v>
      </c>
      <c r="Q148" s="9">
        <v>620587.46</v>
      </c>
      <c r="R148" s="13">
        <v>41815</v>
      </c>
      <c r="S148" s="13">
        <v>41815</v>
      </c>
    </row>
    <row r="149" spans="1:19">
      <c r="A149" s="10">
        <v>2014</v>
      </c>
      <c r="B149" s="11" t="s">
        <v>483</v>
      </c>
      <c r="C149" s="11" t="s">
        <v>484</v>
      </c>
      <c r="D149" s="12">
        <v>1015042</v>
      </c>
      <c r="E149" s="12">
        <v>2</v>
      </c>
      <c r="F149" s="12"/>
      <c r="G149" s="12">
        <v>420</v>
      </c>
      <c r="H149" s="12">
        <v>8.1</v>
      </c>
      <c r="I149" s="12" t="s">
        <v>376</v>
      </c>
      <c r="J149" s="12" t="s">
        <v>82</v>
      </c>
      <c r="K149" s="12" t="b">
        <v>0</v>
      </c>
      <c r="L149" s="12">
        <v>7</v>
      </c>
      <c r="M149" s="8">
        <v>2021</v>
      </c>
      <c r="N149" s="9">
        <v>459213.52</v>
      </c>
      <c r="O149" s="9">
        <v>1151023.1000000001</v>
      </c>
      <c r="P149" s="9">
        <v>136005.45000000001</v>
      </c>
      <c r="Q149" s="9">
        <v>620587.46</v>
      </c>
      <c r="R149" s="13">
        <v>41815</v>
      </c>
      <c r="S149" s="13">
        <v>41815</v>
      </c>
    </row>
    <row r="150" spans="1:19">
      <c r="A150" s="10">
        <v>2014</v>
      </c>
      <c r="B150" s="11" t="s">
        <v>483</v>
      </c>
      <c r="C150" s="11" t="s">
        <v>484</v>
      </c>
      <c r="D150" s="12">
        <v>1015042</v>
      </c>
      <c r="E150" s="12">
        <v>2</v>
      </c>
      <c r="F150" s="12"/>
      <c r="G150" s="12">
        <v>420</v>
      </c>
      <c r="H150" s="12">
        <v>8.1</v>
      </c>
      <c r="I150" s="12" t="s">
        <v>376</v>
      </c>
      <c r="J150" s="12" t="s">
        <v>82</v>
      </c>
      <c r="K150" s="12" t="b">
        <v>0</v>
      </c>
      <c r="L150" s="12">
        <v>0</v>
      </c>
      <c r="M150" s="8">
        <v>2014</v>
      </c>
      <c r="N150" s="9">
        <v>459213.52</v>
      </c>
      <c r="O150" s="9">
        <v>1151023.1000000001</v>
      </c>
      <c r="P150" s="9">
        <v>136005.45000000001</v>
      </c>
      <c r="Q150" s="9">
        <v>620587.46</v>
      </c>
      <c r="R150" s="13">
        <v>41815</v>
      </c>
      <c r="S150" s="13">
        <v>41815</v>
      </c>
    </row>
    <row r="151" spans="1:19">
      <c r="A151" s="10">
        <v>2014</v>
      </c>
      <c r="B151" s="11" t="s">
        <v>483</v>
      </c>
      <c r="C151" s="11" t="s">
        <v>484</v>
      </c>
      <c r="D151" s="12">
        <v>1015042</v>
      </c>
      <c r="E151" s="12">
        <v>2</v>
      </c>
      <c r="F151" s="12"/>
      <c r="G151" s="12">
        <v>420</v>
      </c>
      <c r="H151" s="12">
        <v>8.1</v>
      </c>
      <c r="I151" s="12" t="s">
        <v>376</v>
      </c>
      <c r="J151" s="12" t="s">
        <v>82</v>
      </c>
      <c r="K151" s="12" t="b">
        <v>0</v>
      </c>
      <c r="L151" s="12">
        <v>8</v>
      </c>
      <c r="M151" s="8">
        <v>2022</v>
      </c>
      <c r="N151" s="9">
        <v>459213.52</v>
      </c>
      <c r="O151" s="9">
        <v>1151023.1000000001</v>
      </c>
      <c r="P151" s="9">
        <v>136005.45000000001</v>
      </c>
      <c r="Q151" s="9">
        <v>620587.46</v>
      </c>
      <c r="R151" s="13">
        <v>41815</v>
      </c>
      <c r="S151" s="13">
        <v>41815</v>
      </c>
    </row>
    <row r="152" spans="1:19">
      <c r="A152" s="10">
        <v>2014</v>
      </c>
      <c r="B152" s="11" t="s">
        <v>483</v>
      </c>
      <c r="C152" s="11" t="s">
        <v>484</v>
      </c>
      <c r="D152" s="12">
        <v>1015042</v>
      </c>
      <c r="E152" s="12">
        <v>2</v>
      </c>
      <c r="F152" s="12"/>
      <c r="G152" s="12">
        <v>420</v>
      </c>
      <c r="H152" s="12">
        <v>8.1</v>
      </c>
      <c r="I152" s="12" t="s">
        <v>376</v>
      </c>
      <c r="J152" s="12" t="s">
        <v>82</v>
      </c>
      <c r="K152" s="12" t="b">
        <v>0</v>
      </c>
      <c r="L152" s="12">
        <v>5</v>
      </c>
      <c r="M152" s="8">
        <v>2019</v>
      </c>
      <c r="N152" s="9">
        <v>459213.52</v>
      </c>
      <c r="O152" s="9">
        <v>1151023.1000000001</v>
      </c>
      <c r="P152" s="9">
        <v>136005.45000000001</v>
      </c>
      <c r="Q152" s="9">
        <v>620587.46</v>
      </c>
      <c r="R152" s="13">
        <v>41815</v>
      </c>
      <c r="S152" s="13">
        <v>41815</v>
      </c>
    </row>
    <row r="153" spans="1:19">
      <c r="A153" s="10">
        <v>2014</v>
      </c>
      <c r="B153" s="11" t="s">
        <v>483</v>
      </c>
      <c r="C153" s="11" t="s">
        <v>484</v>
      </c>
      <c r="D153" s="12">
        <v>1015042</v>
      </c>
      <c r="E153" s="12">
        <v>2</v>
      </c>
      <c r="F153" s="12"/>
      <c r="G153" s="12">
        <v>420</v>
      </c>
      <c r="H153" s="12">
        <v>8.1</v>
      </c>
      <c r="I153" s="12" t="s">
        <v>376</v>
      </c>
      <c r="J153" s="12" t="s">
        <v>82</v>
      </c>
      <c r="K153" s="12" t="b">
        <v>0</v>
      </c>
      <c r="L153" s="12">
        <v>1</v>
      </c>
      <c r="M153" s="8">
        <v>2015</v>
      </c>
      <c r="N153" s="9">
        <v>459213.52</v>
      </c>
      <c r="O153" s="9">
        <v>1151023.1000000001</v>
      </c>
      <c r="P153" s="9">
        <v>136005.45000000001</v>
      </c>
      <c r="Q153" s="9">
        <v>620587.46</v>
      </c>
      <c r="R153" s="13">
        <v>41815</v>
      </c>
      <c r="S153" s="13">
        <v>41815</v>
      </c>
    </row>
    <row r="154" spans="1:19">
      <c r="A154" s="10">
        <v>2014</v>
      </c>
      <c r="B154" s="11" t="s">
        <v>483</v>
      </c>
      <c r="C154" s="11" t="s">
        <v>484</v>
      </c>
      <c r="D154" s="12">
        <v>1015042</v>
      </c>
      <c r="E154" s="12">
        <v>2</v>
      </c>
      <c r="F154" s="12"/>
      <c r="G154" s="12">
        <v>420</v>
      </c>
      <c r="H154" s="12">
        <v>8.1</v>
      </c>
      <c r="I154" s="12" t="s">
        <v>376</v>
      </c>
      <c r="J154" s="12" t="s">
        <v>82</v>
      </c>
      <c r="K154" s="12" t="b">
        <v>0</v>
      </c>
      <c r="L154" s="12">
        <v>2</v>
      </c>
      <c r="M154" s="8">
        <v>2016</v>
      </c>
      <c r="N154" s="9">
        <v>459213.52</v>
      </c>
      <c r="O154" s="9">
        <v>1151023.1000000001</v>
      </c>
      <c r="P154" s="9">
        <v>136005.45000000001</v>
      </c>
      <c r="Q154" s="9">
        <v>620587.46</v>
      </c>
      <c r="R154" s="13">
        <v>41815</v>
      </c>
      <c r="S154" s="13">
        <v>41815</v>
      </c>
    </row>
    <row r="155" spans="1:19">
      <c r="A155" s="10">
        <v>2014</v>
      </c>
      <c r="B155" s="11" t="s">
        <v>483</v>
      </c>
      <c r="C155" s="11" t="s">
        <v>484</v>
      </c>
      <c r="D155" s="12">
        <v>1015042</v>
      </c>
      <c r="E155" s="12">
        <v>2</v>
      </c>
      <c r="F155" s="12"/>
      <c r="G155" s="12">
        <v>420</v>
      </c>
      <c r="H155" s="12">
        <v>8.1</v>
      </c>
      <c r="I155" s="12" t="s">
        <v>376</v>
      </c>
      <c r="J155" s="12" t="s">
        <v>82</v>
      </c>
      <c r="K155" s="12" t="b">
        <v>0</v>
      </c>
      <c r="L155" s="12">
        <v>3</v>
      </c>
      <c r="M155" s="8">
        <v>2017</v>
      </c>
      <c r="N155" s="9">
        <v>459213.52</v>
      </c>
      <c r="O155" s="9">
        <v>1151023.1000000001</v>
      </c>
      <c r="P155" s="9">
        <v>136005.45000000001</v>
      </c>
      <c r="Q155" s="9">
        <v>620587.46</v>
      </c>
      <c r="R155" s="13">
        <v>41815</v>
      </c>
      <c r="S155" s="13">
        <v>41815</v>
      </c>
    </row>
    <row r="156" spans="1:19">
      <c r="A156" s="10">
        <v>2014</v>
      </c>
      <c r="B156" s="11" t="s">
        <v>483</v>
      </c>
      <c r="C156" s="11" t="s">
        <v>484</v>
      </c>
      <c r="D156" s="12">
        <v>1015042</v>
      </c>
      <c r="E156" s="12">
        <v>2</v>
      </c>
      <c r="F156" s="12"/>
      <c r="G156" s="12">
        <v>420</v>
      </c>
      <c r="H156" s="12">
        <v>8.1</v>
      </c>
      <c r="I156" s="12" t="s">
        <v>376</v>
      </c>
      <c r="J156" s="12" t="s">
        <v>82</v>
      </c>
      <c r="K156" s="12" t="b">
        <v>0</v>
      </c>
      <c r="L156" s="12">
        <v>4</v>
      </c>
      <c r="M156" s="8">
        <v>2018</v>
      </c>
      <c r="N156" s="9">
        <v>459213.52</v>
      </c>
      <c r="O156" s="9">
        <v>1151023.1000000001</v>
      </c>
      <c r="P156" s="9">
        <v>136005.45000000001</v>
      </c>
      <c r="Q156" s="9">
        <v>620587.46</v>
      </c>
      <c r="R156" s="13">
        <v>41815</v>
      </c>
      <c r="S156" s="13">
        <v>41815</v>
      </c>
    </row>
    <row r="157" spans="1:19">
      <c r="A157" s="10">
        <v>2014</v>
      </c>
      <c r="B157" s="11" t="s">
        <v>483</v>
      </c>
      <c r="C157" s="11" t="s">
        <v>484</v>
      </c>
      <c r="D157" s="12">
        <v>1015042</v>
      </c>
      <c r="E157" s="12">
        <v>2</v>
      </c>
      <c r="F157" s="12"/>
      <c r="G157" s="12">
        <v>110</v>
      </c>
      <c r="H157" s="12" t="s">
        <v>56</v>
      </c>
      <c r="I157" s="12"/>
      <c r="J157" s="12" t="s">
        <v>57</v>
      </c>
      <c r="K157" s="12" t="b">
        <v>1</v>
      </c>
      <c r="L157" s="12">
        <v>1</v>
      </c>
      <c r="M157" s="8">
        <v>2015</v>
      </c>
      <c r="N157" s="9">
        <v>1846553.3</v>
      </c>
      <c r="O157" s="9">
        <v>2058825.67</v>
      </c>
      <c r="P157" s="9">
        <v>1299479.55</v>
      </c>
      <c r="Q157" s="9">
        <v>804121.43</v>
      </c>
      <c r="R157" s="13">
        <v>41815</v>
      </c>
      <c r="S157" s="13">
        <v>41815</v>
      </c>
    </row>
    <row r="158" spans="1:19">
      <c r="A158" s="10">
        <v>2014</v>
      </c>
      <c r="B158" s="11" t="s">
        <v>483</v>
      </c>
      <c r="C158" s="11" t="s">
        <v>484</v>
      </c>
      <c r="D158" s="12">
        <v>1015042</v>
      </c>
      <c r="E158" s="12">
        <v>2</v>
      </c>
      <c r="F158" s="12"/>
      <c r="G158" s="12">
        <v>110</v>
      </c>
      <c r="H158" s="12" t="s">
        <v>56</v>
      </c>
      <c r="I158" s="12"/>
      <c r="J158" s="12" t="s">
        <v>57</v>
      </c>
      <c r="K158" s="12" t="b">
        <v>1</v>
      </c>
      <c r="L158" s="12">
        <v>5</v>
      </c>
      <c r="M158" s="8">
        <v>2019</v>
      </c>
      <c r="N158" s="9">
        <v>1846553.3</v>
      </c>
      <c r="O158" s="9">
        <v>2058825.67</v>
      </c>
      <c r="P158" s="9">
        <v>1299479.55</v>
      </c>
      <c r="Q158" s="9">
        <v>804121.43</v>
      </c>
      <c r="R158" s="13">
        <v>41815</v>
      </c>
      <c r="S158" s="13">
        <v>41815</v>
      </c>
    </row>
    <row r="159" spans="1:19">
      <c r="A159" s="10">
        <v>2014</v>
      </c>
      <c r="B159" s="11" t="s">
        <v>483</v>
      </c>
      <c r="C159" s="11" t="s">
        <v>484</v>
      </c>
      <c r="D159" s="12">
        <v>1015042</v>
      </c>
      <c r="E159" s="12">
        <v>2</v>
      </c>
      <c r="F159" s="12"/>
      <c r="G159" s="12">
        <v>110</v>
      </c>
      <c r="H159" s="12" t="s">
        <v>56</v>
      </c>
      <c r="I159" s="12"/>
      <c r="J159" s="12" t="s">
        <v>57</v>
      </c>
      <c r="K159" s="12" t="b">
        <v>1</v>
      </c>
      <c r="L159" s="12">
        <v>3</v>
      </c>
      <c r="M159" s="8">
        <v>2017</v>
      </c>
      <c r="N159" s="9">
        <v>1846553.3</v>
      </c>
      <c r="O159" s="9">
        <v>2058825.67</v>
      </c>
      <c r="P159" s="9">
        <v>1299479.55</v>
      </c>
      <c r="Q159" s="9">
        <v>804121.43</v>
      </c>
      <c r="R159" s="13">
        <v>41815</v>
      </c>
      <c r="S159" s="13">
        <v>41815</v>
      </c>
    </row>
    <row r="160" spans="1:19">
      <c r="A160" s="10">
        <v>2014</v>
      </c>
      <c r="B160" s="11" t="s">
        <v>483</v>
      </c>
      <c r="C160" s="11" t="s">
        <v>484</v>
      </c>
      <c r="D160" s="12">
        <v>1015042</v>
      </c>
      <c r="E160" s="12">
        <v>2</v>
      </c>
      <c r="F160" s="12"/>
      <c r="G160" s="12">
        <v>110</v>
      </c>
      <c r="H160" s="12" t="s">
        <v>56</v>
      </c>
      <c r="I160" s="12"/>
      <c r="J160" s="12" t="s">
        <v>57</v>
      </c>
      <c r="K160" s="12" t="b">
        <v>1</v>
      </c>
      <c r="L160" s="12">
        <v>4</v>
      </c>
      <c r="M160" s="8">
        <v>2018</v>
      </c>
      <c r="N160" s="9">
        <v>1846553.3</v>
      </c>
      <c r="O160" s="9">
        <v>2058825.67</v>
      </c>
      <c r="P160" s="9">
        <v>1299479.55</v>
      </c>
      <c r="Q160" s="9">
        <v>804121.43</v>
      </c>
      <c r="R160" s="13">
        <v>41815</v>
      </c>
      <c r="S160" s="13">
        <v>41815</v>
      </c>
    </row>
    <row r="161" spans="1:19">
      <c r="A161" s="10">
        <v>2014</v>
      </c>
      <c r="B161" s="11" t="s">
        <v>483</v>
      </c>
      <c r="C161" s="11" t="s">
        <v>484</v>
      </c>
      <c r="D161" s="12">
        <v>1015042</v>
      </c>
      <c r="E161" s="12">
        <v>2</v>
      </c>
      <c r="F161" s="12"/>
      <c r="G161" s="12">
        <v>110</v>
      </c>
      <c r="H161" s="12" t="s">
        <v>56</v>
      </c>
      <c r="I161" s="12"/>
      <c r="J161" s="12" t="s">
        <v>57</v>
      </c>
      <c r="K161" s="12" t="b">
        <v>1</v>
      </c>
      <c r="L161" s="12">
        <v>6</v>
      </c>
      <c r="M161" s="8">
        <v>2020</v>
      </c>
      <c r="N161" s="9">
        <v>1846553.3</v>
      </c>
      <c r="O161" s="9">
        <v>2058825.67</v>
      </c>
      <c r="P161" s="9">
        <v>1299479.55</v>
      </c>
      <c r="Q161" s="9">
        <v>804121.43</v>
      </c>
      <c r="R161" s="13">
        <v>41815</v>
      </c>
      <c r="S161" s="13">
        <v>41815</v>
      </c>
    </row>
    <row r="162" spans="1:19">
      <c r="A162" s="10">
        <v>2014</v>
      </c>
      <c r="B162" s="11" t="s">
        <v>483</v>
      </c>
      <c r="C162" s="11" t="s">
        <v>484</v>
      </c>
      <c r="D162" s="12">
        <v>1015042</v>
      </c>
      <c r="E162" s="12">
        <v>2</v>
      </c>
      <c r="F162" s="12"/>
      <c r="G162" s="12">
        <v>110</v>
      </c>
      <c r="H162" s="12" t="s">
        <v>56</v>
      </c>
      <c r="I162" s="12"/>
      <c r="J162" s="12" t="s">
        <v>57</v>
      </c>
      <c r="K162" s="12" t="b">
        <v>1</v>
      </c>
      <c r="L162" s="12">
        <v>8</v>
      </c>
      <c r="M162" s="8">
        <v>2022</v>
      </c>
      <c r="N162" s="9">
        <v>1846553.3</v>
      </c>
      <c r="O162" s="9">
        <v>2058825.67</v>
      </c>
      <c r="P162" s="9">
        <v>1299479.55</v>
      </c>
      <c r="Q162" s="9">
        <v>804121.43</v>
      </c>
      <c r="R162" s="13">
        <v>41815</v>
      </c>
      <c r="S162" s="13">
        <v>41815</v>
      </c>
    </row>
    <row r="163" spans="1:19">
      <c r="A163" s="10">
        <v>2014</v>
      </c>
      <c r="B163" s="11" t="s">
        <v>483</v>
      </c>
      <c r="C163" s="11" t="s">
        <v>484</v>
      </c>
      <c r="D163" s="12">
        <v>1015042</v>
      </c>
      <c r="E163" s="12">
        <v>2</v>
      </c>
      <c r="F163" s="12"/>
      <c r="G163" s="12">
        <v>110</v>
      </c>
      <c r="H163" s="12" t="s">
        <v>56</v>
      </c>
      <c r="I163" s="12"/>
      <c r="J163" s="12" t="s">
        <v>57</v>
      </c>
      <c r="K163" s="12" t="b">
        <v>1</v>
      </c>
      <c r="L163" s="12">
        <v>7</v>
      </c>
      <c r="M163" s="8">
        <v>2021</v>
      </c>
      <c r="N163" s="9">
        <v>1846553.3</v>
      </c>
      <c r="O163" s="9">
        <v>2058825.67</v>
      </c>
      <c r="P163" s="9">
        <v>1299479.55</v>
      </c>
      <c r="Q163" s="9">
        <v>804121.43</v>
      </c>
      <c r="R163" s="13">
        <v>41815</v>
      </c>
      <c r="S163" s="13">
        <v>41815</v>
      </c>
    </row>
    <row r="164" spans="1:19">
      <c r="A164" s="10">
        <v>2014</v>
      </c>
      <c r="B164" s="11" t="s">
        <v>483</v>
      </c>
      <c r="C164" s="11" t="s">
        <v>484</v>
      </c>
      <c r="D164" s="12">
        <v>1015042</v>
      </c>
      <c r="E164" s="12">
        <v>2</v>
      </c>
      <c r="F164" s="12"/>
      <c r="G164" s="12">
        <v>110</v>
      </c>
      <c r="H164" s="12" t="s">
        <v>56</v>
      </c>
      <c r="I164" s="12"/>
      <c r="J164" s="12" t="s">
        <v>57</v>
      </c>
      <c r="K164" s="12" t="b">
        <v>1</v>
      </c>
      <c r="L164" s="12">
        <v>0</v>
      </c>
      <c r="M164" s="8">
        <v>2014</v>
      </c>
      <c r="N164" s="9">
        <v>1846553.3</v>
      </c>
      <c r="O164" s="9">
        <v>2058825.67</v>
      </c>
      <c r="P164" s="9">
        <v>1299479.55</v>
      </c>
      <c r="Q164" s="9">
        <v>804121.43</v>
      </c>
      <c r="R164" s="13">
        <v>41815</v>
      </c>
      <c r="S164" s="13">
        <v>41815</v>
      </c>
    </row>
    <row r="165" spans="1:19">
      <c r="A165" s="10">
        <v>2014</v>
      </c>
      <c r="B165" s="11" t="s">
        <v>483</v>
      </c>
      <c r="C165" s="11" t="s">
        <v>484</v>
      </c>
      <c r="D165" s="12">
        <v>1015042</v>
      </c>
      <c r="E165" s="12">
        <v>2</v>
      </c>
      <c r="F165" s="12"/>
      <c r="G165" s="12">
        <v>110</v>
      </c>
      <c r="H165" s="12" t="s">
        <v>56</v>
      </c>
      <c r="I165" s="12"/>
      <c r="J165" s="12" t="s">
        <v>57</v>
      </c>
      <c r="K165" s="12" t="b">
        <v>1</v>
      </c>
      <c r="L165" s="12">
        <v>2</v>
      </c>
      <c r="M165" s="8">
        <v>2016</v>
      </c>
      <c r="N165" s="9">
        <v>1846553.3</v>
      </c>
      <c r="O165" s="9">
        <v>2058825.67</v>
      </c>
      <c r="P165" s="9">
        <v>1299479.55</v>
      </c>
      <c r="Q165" s="9">
        <v>804121.43</v>
      </c>
      <c r="R165" s="13">
        <v>41815</v>
      </c>
      <c r="S165" s="13">
        <v>41815</v>
      </c>
    </row>
    <row r="166" spans="1:19">
      <c r="A166" s="10">
        <v>2014</v>
      </c>
      <c r="B166" s="11" t="s">
        <v>483</v>
      </c>
      <c r="C166" s="11" t="s">
        <v>484</v>
      </c>
      <c r="D166" s="12">
        <v>1015042</v>
      </c>
      <c r="E166" s="12">
        <v>2</v>
      </c>
      <c r="F166" s="12"/>
      <c r="G166" s="12">
        <v>767</v>
      </c>
      <c r="H166" s="12">
        <v>12.7</v>
      </c>
      <c r="I166" s="12"/>
      <c r="J166" s="12" t="s">
        <v>405</v>
      </c>
      <c r="K166" s="12" t="b">
        <v>1</v>
      </c>
      <c r="L166" s="12">
        <v>7</v>
      </c>
      <c r="M166" s="8">
        <v>2021</v>
      </c>
      <c r="N166" s="9">
        <v>0</v>
      </c>
      <c r="O166" s="9">
        <v>0</v>
      </c>
      <c r="P166" s="9">
        <v>0</v>
      </c>
      <c r="Q166" s="9">
        <v>800000</v>
      </c>
      <c r="R166" s="13">
        <v>41815</v>
      </c>
      <c r="S166" s="13">
        <v>41815</v>
      </c>
    </row>
    <row r="167" spans="1:19">
      <c r="A167" s="10">
        <v>2014</v>
      </c>
      <c r="B167" s="11" t="s">
        <v>483</v>
      </c>
      <c r="C167" s="11" t="s">
        <v>484</v>
      </c>
      <c r="D167" s="12">
        <v>1015042</v>
      </c>
      <c r="E167" s="12">
        <v>2</v>
      </c>
      <c r="F167" s="12"/>
      <c r="G167" s="12">
        <v>767</v>
      </c>
      <c r="H167" s="12">
        <v>12.7</v>
      </c>
      <c r="I167" s="12"/>
      <c r="J167" s="12" t="s">
        <v>405</v>
      </c>
      <c r="K167" s="12" t="b">
        <v>1</v>
      </c>
      <c r="L167" s="12">
        <v>2</v>
      </c>
      <c r="M167" s="8">
        <v>2016</v>
      </c>
      <c r="N167" s="9">
        <v>0</v>
      </c>
      <c r="O167" s="9">
        <v>0</v>
      </c>
      <c r="P167" s="9">
        <v>0</v>
      </c>
      <c r="Q167" s="9">
        <v>800000</v>
      </c>
      <c r="R167" s="13">
        <v>41815</v>
      </c>
      <c r="S167" s="13">
        <v>41815</v>
      </c>
    </row>
    <row r="168" spans="1:19">
      <c r="A168" s="10">
        <v>2014</v>
      </c>
      <c r="B168" s="11" t="s">
        <v>483</v>
      </c>
      <c r="C168" s="11" t="s">
        <v>484</v>
      </c>
      <c r="D168" s="12">
        <v>1015042</v>
      </c>
      <c r="E168" s="12">
        <v>2</v>
      </c>
      <c r="F168" s="12"/>
      <c r="G168" s="12">
        <v>767</v>
      </c>
      <c r="H168" s="12">
        <v>12.7</v>
      </c>
      <c r="I168" s="12"/>
      <c r="J168" s="12" t="s">
        <v>405</v>
      </c>
      <c r="K168" s="12" t="b">
        <v>1</v>
      </c>
      <c r="L168" s="12">
        <v>4</v>
      </c>
      <c r="M168" s="8">
        <v>2018</v>
      </c>
      <c r="N168" s="9">
        <v>0</v>
      </c>
      <c r="O168" s="9">
        <v>0</v>
      </c>
      <c r="P168" s="9">
        <v>0</v>
      </c>
      <c r="Q168" s="9">
        <v>800000</v>
      </c>
      <c r="R168" s="13">
        <v>41815</v>
      </c>
      <c r="S168" s="13">
        <v>41815</v>
      </c>
    </row>
    <row r="169" spans="1:19">
      <c r="A169" s="10">
        <v>2014</v>
      </c>
      <c r="B169" s="11" t="s">
        <v>483</v>
      </c>
      <c r="C169" s="11" t="s">
        <v>484</v>
      </c>
      <c r="D169" s="12">
        <v>1015042</v>
      </c>
      <c r="E169" s="12">
        <v>2</v>
      </c>
      <c r="F169" s="12"/>
      <c r="G169" s="12">
        <v>767</v>
      </c>
      <c r="H169" s="12">
        <v>12.7</v>
      </c>
      <c r="I169" s="12"/>
      <c r="J169" s="12" t="s">
        <v>405</v>
      </c>
      <c r="K169" s="12" t="b">
        <v>1</v>
      </c>
      <c r="L169" s="12">
        <v>0</v>
      </c>
      <c r="M169" s="8">
        <v>2014</v>
      </c>
      <c r="N169" s="9">
        <v>0</v>
      </c>
      <c r="O169" s="9">
        <v>0</v>
      </c>
      <c r="P169" s="9">
        <v>0</v>
      </c>
      <c r="Q169" s="9">
        <v>800000</v>
      </c>
      <c r="R169" s="13">
        <v>41815</v>
      </c>
      <c r="S169" s="13">
        <v>41815</v>
      </c>
    </row>
    <row r="170" spans="1:19">
      <c r="A170" s="10">
        <v>2014</v>
      </c>
      <c r="B170" s="11" t="s">
        <v>483</v>
      </c>
      <c r="C170" s="11" t="s">
        <v>484</v>
      </c>
      <c r="D170" s="12">
        <v>1015042</v>
      </c>
      <c r="E170" s="12">
        <v>2</v>
      </c>
      <c r="F170" s="12"/>
      <c r="G170" s="12">
        <v>767</v>
      </c>
      <c r="H170" s="12">
        <v>12.7</v>
      </c>
      <c r="I170" s="12"/>
      <c r="J170" s="12" t="s">
        <v>405</v>
      </c>
      <c r="K170" s="12" t="b">
        <v>1</v>
      </c>
      <c r="L170" s="12">
        <v>8</v>
      </c>
      <c r="M170" s="8">
        <v>2022</v>
      </c>
      <c r="N170" s="9">
        <v>0</v>
      </c>
      <c r="O170" s="9">
        <v>0</v>
      </c>
      <c r="P170" s="9">
        <v>0</v>
      </c>
      <c r="Q170" s="9">
        <v>800000</v>
      </c>
      <c r="R170" s="13">
        <v>41815</v>
      </c>
      <c r="S170" s="13">
        <v>41815</v>
      </c>
    </row>
    <row r="171" spans="1:19">
      <c r="A171" s="10">
        <v>2014</v>
      </c>
      <c r="B171" s="11" t="s">
        <v>483</v>
      </c>
      <c r="C171" s="11" t="s">
        <v>484</v>
      </c>
      <c r="D171" s="12">
        <v>1015042</v>
      </c>
      <c r="E171" s="12">
        <v>2</v>
      </c>
      <c r="F171" s="12"/>
      <c r="G171" s="12">
        <v>767</v>
      </c>
      <c r="H171" s="12">
        <v>12.7</v>
      </c>
      <c r="I171" s="12"/>
      <c r="J171" s="12" t="s">
        <v>405</v>
      </c>
      <c r="K171" s="12" t="b">
        <v>1</v>
      </c>
      <c r="L171" s="12">
        <v>1</v>
      </c>
      <c r="M171" s="8">
        <v>2015</v>
      </c>
      <c r="N171" s="9">
        <v>0</v>
      </c>
      <c r="O171" s="9">
        <v>0</v>
      </c>
      <c r="P171" s="9">
        <v>0</v>
      </c>
      <c r="Q171" s="9">
        <v>800000</v>
      </c>
      <c r="R171" s="13">
        <v>41815</v>
      </c>
      <c r="S171" s="13">
        <v>41815</v>
      </c>
    </row>
    <row r="172" spans="1:19">
      <c r="A172" s="10">
        <v>2014</v>
      </c>
      <c r="B172" s="11" t="s">
        <v>483</v>
      </c>
      <c r="C172" s="11" t="s">
        <v>484</v>
      </c>
      <c r="D172" s="12">
        <v>1015042</v>
      </c>
      <c r="E172" s="12">
        <v>2</v>
      </c>
      <c r="F172" s="12"/>
      <c r="G172" s="12">
        <v>767</v>
      </c>
      <c r="H172" s="12">
        <v>12.7</v>
      </c>
      <c r="I172" s="12"/>
      <c r="J172" s="12" t="s">
        <v>405</v>
      </c>
      <c r="K172" s="12" t="b">
        <v>1</v>
      </c>
      <c r="L172" s="12">
        <v>3</v>
      </c>
      <c r="M172" s="8">
        <v>2017</v>
      </c>
      <c r="N172" s="9">
        <v>0</v>
      </c>
      <c r="O172" s="9">
        <v>0</v>
      </c>
      <c r="P172" s="9">
        <v>0</v>
      </c>
      <c r="Q172" s="9">
        <v>800000</v>
      </c>
      <c r="R172" s="13">
        <v>41815</v>
      </c>
      <c r="S172" s="13">
        <v>41815</v>
      </c>
    </row>
    <row r="173" spans="1:19">
      <c r="A173" s="10">
        <v>2014</v>
      </c>
      <c r="B173" s="11" t="s">
        <v>483</v>
      </c>
      <c r="C173" s="11" t="s">
        <v>484</v>
      </c>
      <c r="D173" s="12">
        <v>1015042</v>
      </c>
      <c r="E173" s="12">
        <v>2</v>
      </c>
      <c r="F173" s="12"/>
      <c r="G173" s="12">
        <v>767</v>
      </c>
      <c r="H173" s="12">
        <v>12.7</v>
      </c>
      <c r="I173" s="12"/>
      <c r="J173" s="12" t="s">
        <v>405</v>
      </c>
      <c r="K173" s="12" t="b">
        <v>1</v>
      </c>
      <c r="L173" s="12">
        <v>6</v>
      </c>
      <c r="M173" s="8">
        <v>2020</v>
      </c>
      <c r="N173" s="9">
        <v>0</v>
      </c>
      <c r="O173" s="9">
        <v>0</v>
      </c>
      <c r="P173" s="9">
        <v>0</v>
      </c>
      <c r="Q173" s="9">
        <v>800000</v>
      </c>
      <c r="R173" s="13">
        <v>41815</v>
      </c>
      <c r="S173" s="13">
        <v>41815</v>
      </c>
    </row>
    <row r="174" spans="1:19">
      <c r="A174" s="10">
        <v>2014</v>
      </c>
      <c r="B174" s="11" t="s">
        <v>483</v>
      </c>
      <c r="C174" s="11" t="s">
        <v>484</v>
      </c>
      <c r="D174" s="12">
        <v>1015042</v>
      </c>
      <c r="E174" s="12">
        <v>2</v>
      </c>
      <c r="F174" s="12"/>
      <c r="G174" s="12">
        <v>767</v>
      </c>
      <c r="H174" s="12">
        <v>12.7</v>
      </c>
      <c r="I174" s="12"/>
      <c r="J174" s="12" t="s">
        <v>405</v>
      </c>
      <c r="K174" s="12" t="b">
        <v>1</v>
      </c>
      <c r="L174" s="12">
        <v>5</v>
      </c>
      <c r="M174" s="8">
        <v>2019</v>
      </c>
      <c r="N174" s="9">
        <v>0</v>
      </c>
      <c r="O174" s="9">
        <v>0</v>
      </c>
      <c r="P174" s="9">
        <v>0</v>
      </c>
      <c r="Q174" s="9">
        <v>800000</v>
      </c>
      <c r="R174" s="13">
        <v>41815</v>
      </c>
      <c r="S174" s="13">
        <v>41815</v>
      </c>
    </row>
    <row r="175" spans="1:19">
      <c r="A175" s="10">
        <v>2014</v>
      </c>
      <c r="B175" s="11" t="s">
        <v>483</v>
      </c>
      <c r="C175" s="11" t="s">
        <v>484</v>
      </c>
      <c r="D175" s="12">
        <v>1015042</v>
      </c>
      <c r="E175" s="12">
        <v>2</v>
      </c>
      <c r="F175" s="12"/>
      <c r="G175" s="12">
        <v>350</v>
      </c>
      <c r="H175" s="12">
        <v>6</v>
      </c>
      <c r="I175" s="12"/>
      <c r="J175" s="12" t="s">
        <v>25</v>
      </c>
      <c r="K175" s="12" t="b">
        <v>1</v>
      </c>
      <c r="L175" s="12">
        <v>5</v>
      </c>
      <c r="M175" s="8">
        <v>2019</v>
      </c>
      <c r="N175" s="9">
        <v>2320666.36</v>
      </c>
      <c r="O175" s="9">
        <v>1374219.43</v>
      </c>
      <c r="P175" s="9">
        <v>2305335.4300000002</v>
      </c>
      <c r="Q175" s="9">
        <v>2147269.15</v>
      </c>
      <c r="R175" s="13">
        <v>41815</v>
      </c>
      <c r="S175" s="13">
        <v>41815</v>
      </c>
    </row>
    <row r="176" spans="1:19">
      <c r="A176" s="10">
        <v>2014</v>
      </c>
      <c r="B176" s="11" t="s">
        <v>483</v>
      </c>
      <c r="C176" s="11" t="s">
        <v>484</v>
      </c>
      <c r="D176" s="12">
        <v>1015042</v>
      </c>
      <c r="E176" s="12">
        <v>2</v>
      </c>
      <c r="F176" s="12"/>
      <c r="G176" s="12">
        <v>350</v>
      </c>
      <c r="H176" s="12">
        <v>6</v>
      </c>
      <c r="I176" s="12"/>
      <c r="J176" s="12" t="s">
        <v>25</v>
      </c>
      <c r="K176" s="12" t="b">
        <v>1</v>
      </c>
      <c r="L176" s="12">
        <v>2</v>
      </c>
      <c r="M176" s="8">
        <v>2016</v>
      </c>
      <c r="N176" s="9">
        <v>2320666.36</v>
      </c>
      <c r="O176" s="9">
        <v>1374219.43</v>
      </c>
      <c r="P176" s="9">
        <v>2305335.4300000002</v>
      </c>
      <c r="Q176" s="9">
        <v>2147269.15</v>
      </c>
      <c r="R176" s="13">
        <v>41815</v>
      </c>
      <c r="S176" s="13">
        <v>41815</v>
      </c>
    </row>
    <row r="177" spans="1:19">
      <c r="A177" s="10">
        <v>2014</v>
      </c>
      <c r="B177" s="11" t="s">
        <v>483</v>
      </c>
      <c r="C177" s="11" t="s">
        <v>484</v>
      </c>
      <c r="D177" s="12">
        <v>1015042</v>
      </c>
      <c r="E177" s="12">
        <v>2</v>
      </c>
      <c r="F177" s="12"/>
      <c r="G177" s="12">
        <v>350</v>
      </c>
      <c r="H177" s="12">
        <v>6</v>
      </c>
      <c r="I177" s="12"/>
      <c r="J177" s="12" t="s">
        <v>25</v>
      </c>
      <c r="K177" s="12" t="b">
        <v>1</v>
      </c>
      <c r="L177" s="12">
        <v>0</v>
      </c>
      <c r="M177" s="8">
        <v>2014</v>
      </c>
      <c r="N177" s="9">
        <v>2320666.36</v>
      </c>
      <c r="O177" s="9">
        <v>1374219.43</v>
      </c>
      <c r="P177" s="9">
        <v>2305335.4300000002</v>
      </c>
      <c r="Q177" s="9">
        <v>2147269.15</v>
      </c>
      <c r="R177" s="13">
        <v>41815</v>
      </c>
      <c r="S177" s="13">
        <v>41815</v>
      </c>
    </row>
    <row r="178" spans="1:19">
      <c r="A178" s="10">
        <v>2014</v>
      </c>
      <c r="B178" s="11" t="s">
        <v>483</v>
      </c>
      <c r="C178" s="11" t="s">
        <v>484</v>
      </c>
      <c r="D178" s="12">
        <v>1015042</v>
      </c>
      <c r="E178" s="12">
        <v>2</v>
      </c>
      <c r="F178" s="12"/>
      <c r="G178" s="12">
        <v>350</v>
      </c>
      <c r="H178" s="12">
        <v>6</v>
      </c>
      <c r="I178" s="12"/>
      <c r="J178" s="12" t="s">
        <v>25</v>
      </c>
      <c r="K178" s="12" t="b">
        <v>1</v>
      </c>
      <c r="L178" s="12">
        <v>8</v>
      </c>
      <c r="M178" s="8">
        <v>2022</v>
      </c>
      <c r="N178" s="9">
        <v>2320666.36</v>
      </c>
      <c r="O178" s="9">
        <v>1374219.43</v>
      </c>
      <c r="P178" s="9">
        <v>2305335.4300000002</v>
      </c>
      <c r="Q178" s="9">
        <v>2147269.15</v>
      </c>
      <c r="R178" s="13">
        <v>41815</v>
      </c>
      <c r="S178" s="13">
        <v>41815</v>
      </c>
    </row>
    <row r="179" spans="1:19">
      <c r="A179" s="10">
        <v>2014</v>
      </c>
      <c r="B179" s="11" t="s">
        <v>483</v>
      </c>
      <c r="C179" s="11" t="s">
        <v>484</v>
      </c>
      <c r="D179" s="12">
        <v>1015042</v>
      </c>
      <c r="E179" s="12">
        <v>2</v>
      </c>
      <c r="F179" s="12"/>
      <c r="G179" s="12">
        <v>350</v>
      </c>
      <c r="H179" s="12">
        <v>6</v>
      </c>
      <c r="I179" s="12"/>
      <c r="J179" s="12" t="s">
        <v>25</v>
      </c>
      <c r="K179" s="12" t="b">
        <v>1</v>
      </c>
      <c r="L179" s="12">
        <v>6</v>
      </c>
      <c r="M179" s="8">
        <v>2020</v>
      </c>
      <c r="N179" s="9">
        <v>2320666.36</v>
      </c>
      <c r="O179" s="9">
        <v>1374219.43</v>
      </c>
      <c r="P179" s="9">
        <v>2305335.4300000002</v>
      </c>
      <c r="Q179" s="9">
        <v>2147269.15</v>
      </c>
      <c r="R179" s="13">
        <v>41815</v>
      </c>
      <c r="S179" s="13">
        <v>41815</v>
      </c>
    </row>
    <row r="180" spans="1:19">
      <c r="A180" s="10">
        <v>2014</v>
      </c>
      <c r="B180" s="11" t="s">
        <v>483</v>
      </c>
      <c r="C180" s="11" t="s">
        <v>484</v>
      </c>
      <c r="D180" s="12">
        <v>1015042</v>
      </c>
      <c r="E180" s="12">
        <v>2</v>
      </c>
      <c r="F180" s="12"/>
      <c r="G180" s="12">
        <v>350</v>
      </c>
      <c r="H180" s="12">
        <v>6</v>
      </c>
      <c r="I180" s="12"/>
      <c r="J180" s="12" t="s">
        <v>25</v>
      </c>
      <c r="K180" s="12" t="b">
        <v>1</v>
      </c>
      <c r="L180" s="12">
        <v>1</v>
      </c>
      <c r="M180" s="8">
        <v>2015</v>
      </c>
      <c r="N180" s="9">
        <v>2320666.36</v>
      </c>
      <c r="O180" s="9">
        <v>1374219.43</v>
      </c>
      <c r="P180" s="9">
        <v>2305335.4300000002</v>
      </c>
      <c r="Q180" s="9">
        <v>2147269.15</v>
      </c>
      <c r="R180" s="13">
        <v>41815</v>
      </c>
      <c r="S180" s="13">
        <v>41815</v>
      </c>
    </row>
    <row r="181" spans="1:19">
      <c r="A181" s="10">
        <v>2014</v>
      </c>
      <c r="B181" s="11" t="s">
        <v>483</v>
      </c>
      <c r="C181" s="11" t="s">
        <v>484</v>
      </c>
      <c r="D181" s="12">
        <v>1015042</v>
      </c>
      <c r="E181" s="12">
        <v>2</v>
      </c>
      <c r="F181" s="12"/>
      <c r="G181" s="12">
        <v>350</v>
      </c>
      <c r="H181" s="12">
        <v>6</v>
      </c>
      <c r="I181" s="12"/>
      <c r="J181" s="12" t="s">
        <v>25</v>
      </c>
      <c r="K181" s="12" t="b">
        <v>1</v>
      </c>
      <c r="L181" s="12">
        <v>3</v>
      </c>
      <c r="M181" s="8">
        <v>2017</v>
      </c>
      <c r="N181" s="9">
        <v>2320666.36</v>
      </c>
      <c r="O181" s="9">
        <v>1374219.43</v>
      </c>
      <c r="P181" s="9">
        <v>2305335.4300000002</v>
      </c>
      <c r="Q181" s="9">
        <v>2147269.15</v>
      </c>
      <c r="R181" s="13">
        <v>41815</v>
      </c>
      <c r="S181" s="13">
        <v>41815</v>
      </c>
    </row>
    <row r="182" spans="1:19">
      <c r="A182" s="10">
        <v>2014</v>
      </c>
      <c r="B182" s="11" t="s">
        <v>483</v>
      </c>
      <c r="C182" s="11" t="s">
        <v>484</v>
      </c>
      <c r="D182" s="12">
        <v>1015042</v>
      </c>
      <c r="E182" s="12">
        <v>2</v>
      </c>
      <c r="F182" s="12"/>
      <c r="G182" s="12">
        <v>750</v>
      </c>
      <c r="H182" s="12" t="s">
        <v>111</v>
      </c>
      <c r="I182" s="12"/>
      <c r="J182" s="12" t="s">
        <v>112</v>
      </c>
      <c r="K182" s="12" t="b">
        <v>0</v>
      </c>
      <c r="L182" s="12">
        <v>8</v>
      </c>
      <c r="M182" s="8">
        <v>2022</v>
      </c>
      <c r="N182" s="9">
        <v>215996.41</v>
      </c>
      <c r="O182" s="9">
        <v>20100</v>
      </c>
      <c r="P182" s="9">
        <v>9900</v>
      </c>
      <c r="Q182" s="9">
        <v>9900</v>
      </c>
      <c r="R182" s="13">
        <v>41815</v>
      </c>
      <c r="S182" s="13">
        <v>41815</v>
      </c>
    </row>
    <row r="183" spans="1:19">
      <c r="A183" s="10">
        <v>2014</v>
      </c>
      <c r="B183" s="11" t="s">
        <v>483</v>
      </c>
      <c r="C183" s="11" t="s">
        <v>484</v>
      </c>
      <c r="D183" s="12">
        <v>1015042</v>
      </c>
      <c r="E183" s="12">
        <v>2</v>
      </c>
      <c r="F183" s="12"/>
      <c r="G183" s="12">
        <v>750</v>
      </c>
      <c r="H183" s="12" t="s">
        <v>111</v>
      </c>
      <c r="I183" s="12"/>
      <c r="J183" s="12" t="s">
        <v>112</v>
      </c>
      <c r="K183" s="12" t="b">
        <v>0</v>
      </c>
      <c r="L183" s="12">
        <v>0</v>
      </c>
      <c r="M183" s="8">
        <v>2014</v>
      </c>
      <c r="N183" s="9">
        <v>215996.41</v>
      </c>
      <c r="O183" s="9">
        <v>20100</v>
      </c>
      <c r="P183" s="9">
        <v>9900</v>
      </c>
      <c r="Q183" s="9">
        <v>9900</v>
      </c>
      <c r="R183" s="13">
        <v>41815</v>
      </c>
      <c r="S183" s="13">
        <v>41815</v>
      </c>
    </row>
    <row r="184" spans="1:19">
      <c r="A184" s="10">
        <v>2014</v>
      </c>
      <c r="B184" s="11" t="s">
        <v>483</v>
      </c>
      <c r="C184" s="11" t="s">
        <v>484</v>
      </c>
      <c r="D184" s="12">
        <v>1015042</v>
      </c>
      <c r="E184" s="12">
        <v>2</v>
      </c>
      <c r="F184" s="12"/>
      <c r="G184" s="12">
        <v>750</v>
      </c>
      <c r="H184" s="12" t="s">
        <v>111</v>
      </c>
      <c r="I184" s="12"/>
      <c r="J184" s="12" t="s">
        <v>112</v>
      </c>
      <c r="K184" s="12" t="b">
        <v>0</v>
      </c>
      <c r="L184" s="12">
        <v>5</v>
      </c>
      <c r="M184" s="8">
        <v>2019</v>
      </c>
      <c r="N184" s="9">
        <v>215996.41</v>
      </c>
      <c r="O184" s="9">
        <v>20100</v>
      </c>
      <c r="P184" s="9">
        <v>9900</v>
      </c>
      <c r="Q184" s="9">
        <v>9900</v>
      </c>
      <c r="R184" s="13">
        <v>41815</v>
      </c>
      <c r="S184" s="13">
        <v>41815</v>
      </c>
    </row>
    <row r="185" spans="1:19">
      <c r="A185" s="10">
        <v>2014</v>
      </c>
      <c r="B185" s="11" t="s">
        <v>483</v>
      </c>
      <c r="C185" s="11" t="s">
        <v>484</v>
      </c>
      <c r="D185" s="12">
        <v>1015042</v>
      </c>
      <c r="E185" s="12">
        <v>2</v>
      </c>
      <c r="F185" s="12"/>
      <c r="G185" s="12">
        <v>750</v>
      </c>
      <c r="H185" s="12" t="s">
        <v>111</v>
      </c>
      <c r="I185" s="12"/>
      <c r="J185" s="12" t="s">
        <v>112</v>
      </c>
      <c r="K185" s="12" t="b">
        <v>0</v>
      </c>
      <c r="L185" s="12">
        <v>3</v>
      </c>
      <c r="M185" s="8">
        <v>2017</v>
      </c>
      <c r="N185" s="9">
        <v>215996.41</v>
      </c>
      <c r="O185" s="9">
        <v>20100</v>
      </c>
      <c r="P185" s="9">
        <v>9900</v>
      </c>
      <c r="Q185" s="9">
        <v>9900</v>
      </c>
      <c r="R185" s="13">
        <v>41815</v>
      </c>
      <c r="S185" s="13">
        <v>41815</v>
      </c>
    </row>
    <row r="186" spans="1:19">
      <c r="A186" s="10">
        <v>2014</v>
      </c>
      <c r="B186" s="11" t="s">
        <v>483</v>
      </c>
      <c r="C186" s="11" t="s">
        <v>484</v>
      </c>
      <c r="D186" s="12">
        <v>1015042</v>
      </c>
      <c r="E186" s="12">
        <v>2</v>
      </c>
      <c r="F186" s="12"/>
      <c r="G186" s="12">
        <v>750</v>
      </c>
      <c r="H186" s="12" t="s">
        <v>111</v>
      </c>
      <c r="I186" s="12"/>
      <c r="J186" s="12" t="s">
        <v>112</v>
      </c>
      <c r="K186" s="12" t="b">
        <v>0</v>
      </c>
      <c r="L186" s="12">
        <v>6</v>
      </c>
      <c r="M186" s="8">
        <v>2020</v>
      </c>
      <c r="N186" s="9">
        <v>215996.41</v>
      </c>
      <c r="O186" s="9">
        <v>20100</v>
      </c>
      <c r="P186" s="9">
        <v>9900</v>
      </c>
      <c r="Q186" s="9">
        <v>9900</v>
      </c>
      <c r="R186" s="13">
        <v>41815</v>
      </c>
      <c r="S186" s="13">
        <v>41815</v>
      </c>
    </row>
    <row r="187" spans="1:19">
      <c r="A187" s="10">
        <v>2014</v>
      </c>
      <c r="B187" s="11" t="s">
        <v>483</v>
      </c>
      <c r="C187" s="11" t="s">
        <v>484</v>
      </c>
      <c r="D187" s="12">
        <v>1015042</v>
      </c>
      <c r="E187" s="12">
        <v>2</v>
      </c>
      <c r="F187" s="12"/>
      <c r="G187" s="12">
        <v>750</v>
      </c>
      <c r="H187" s="12" t="s">
        <v>111</v>
      </c>
      <c r="I187" s="12"/>
      <c r="J187" s="12" t="s">
        <v>112</v>
      </c>
      <c r="K187" s="12" t="b">
        <v>0</v>
      </c>
      <c r="L187" s="12">
        <v>4</v>
      </c>
      <c r="M187" s="8">
        <v>2018</v>
      </c>
      <c r="N187" s="9">
        <v>215996.41</v>
      </c>
      <c r="O187" s="9">
        <v>20100</v>
      </c>
      <c r="P187" s="9">
        <v>9900</v>
      </c>
      <c r="Q187" s="9">
        <v>9900</v>
      </c>
      <c r="R187" s="13">
        <v>41815</v>
      </c>
      <c r="S187" s="13">
        <v>41815</v>
      </c>
    </row>
    <row r="188" spans="1:19">
      <c r="A188" s="10">
        <v>2014</v>
      </c>
      <c r="B188" s="11" t="s">
        <v>483</v>
      </c>
      <c r="C188" s="11" t="s">
        <v>484</v>
      </c>
      <c r="D188" s="12">
        <v>1015042</v>
      </c>
      <c r="E188" s="12">
        <v>2</v>
      </c>
      <c r="F188" s="12"/>
      <c r="G188" s="12">
        <v>750</v>
      </c>
      <c r="H188" s="12" t="s">
        <v>111</v>
      </c>
      <c r="I188" s="12"/>
      <c r="J188" s="12" t="s">
        <v>112</v>
      </c>
      <c r="K188" s="12" t="b">
        <v>0</v>
      </c>
      <c r="L188" s="12">
        <v>1</v>
      </c>
      <c r="M188" s="8">
        <v>2015</v>
      </c>
      <c r="N188" s="9">
        <v>215996.41</v>
      </c>
      <c r="O188" s="9">
        <v>20100</v>
      </c>
      <c r="P188" s="9">
        <v>9900</v>
      </c>
      <c r="Q188" s="9">
        <v>9900</v>
      </c>
      <c r="R188" s="13">
        <v>41815</v>
      </c>
      <c r="S188" s="13">
        <v>41815</v>
      </c>
    </row>
    <row r="189" spans="1:19">
      <c r="A189" s="10">
        <v>2014</v>
      </c>
      <c r="B189" s="11" t="s">
        <v>483</v>
      </c>
      <c r="C189" s="11" t="s">
        <v>484</v>
      </c>
      <c r="D189" s="12">
        <v>1015042</v>
      </c>
      <c r="E189" s="12">
        <v>2</v>
      </c>
      <c r="F189" s="12"/>
      <c r="G189" s="12">
        <v>750</v>
      </c>
      <c r="H189" s="12" t="s">
        <v>111</v>
      </c>
      <c r="I189" s="12"/>
      <c r="J189" s="12" t="s">
        <v>112</v>
      </c>
      <c r="K189" s="12" t="b">
        <v>0</v>
      </c>
      <c r="L189" s="12">
        <v>7</v>
      </c>
      <c r="M189" s="8">
        <v>2021</v>
      </c>
      <c r="N189" s="9">
        <v>215996.41</v>
      </c>
      <c r="O189" s="9">
        <v>20100</v>
      </c>
      <c r="P189" s="9">
        <v>9900</v>
      </c>
      <c r="Q189" s="9">
        <v>9900</v>
      </c>
      <c r="R189" s="13">
        <v>41815</v>
      </c>
      <c r="S189" s="13">
        <v>41815</v>
      </c>
    </row>
    <row r="190" spans="1:19">
      <c r="A190" s="10">
        <v>2014</v>
      </c>
      <c r="B190" s="11" t="s">
        <v>483</v>
      </c>
      <c r="C190" s="11" t="s">
        <v>484</v>
      </c>
      <c r="D190" s="12">
        <v>1015042</v>
      </c>
      <c r="E190" s="12">
        <v>2</v>
      </c>
      <c r="F190" s="12"/>
      <c r="G190" s="12">
        <v>750</v>
      </c>
      <c r="H190" s="12" t="s">
        <v>111</v>
      </c>
      <c r="I190" s="12"/>
      <c r="J190" s="12" t="s">
        <v>112</v>
      </c>
      <c r="K190" s="12" t="b">
        <v>0</v>
      </c>
      <c r="L190" s="12">
        <v>2</v>
      </c>
      <c r="M190" s="8">
        <v>2016</v>
      </c>
      <c r="N190" s="9">
        <v>215996.41</v>
      </c>
      <c r="O190" s="9">
        <v>20100</v>
      </c>
      <c r="P190" s="9">
        <v>9900</v>
      </c>
      <c r="Q190" s="9">
        <v>9900</v>
      </c>
      <c r="R190" s="13">
        <v>41815</v>
      </c>
      <c r="S190" s="13">
        <v>41815</v>
      </c>
    </row>
    <row r="191" spans="1:19">
      <c r="A191" s="10">
        <v>2014</v>
      </c>
      <c r="B191" s="11" t="s">
        <v>483</v>
      </c>
      <c r="C191" s="11" t="s">
        <v>484</v>
      </c>
      <c r="D191" s="12">
        <v>1015042</v>
      </c>
      <c r="E191" s="12">
        <v>2</v>
      </c>
      <c r="F191" s="12"/>
      <c r="G191" s="12">
        <v>150</v>
      </c>
      <c r="H191" s="12" t="s">
        <v>61</v>
      </c>
      <c r="I191" s="12"/>
      <c r="J191" s="12" t="s">
        <v>358</v>
      </c>
      <c r="K191" s="12" t="b">
        <v>1</v>
      </c>
      <c r="L191" s="12">
        <v>8</v>
      </c>
      <c r="M191" s="8">
        <v>2022</v>
      </c>
      <c r="N191" s="9">
        <v>0</v>
      </c>
      <c r="O191" s="9">
        <v>0</v>
      </c>
      <c r="P191" s="9">
        <v>0</v>
      </c>
      <c r="Q191" s="9">
        <v>0</v>
      </c>
      <c r="R191" s="13">
        <v>41815</v>
      </c>
      <c r="S191" s="13">
        <v>41815</v>
      </c>
    </row>
    <row r="192" spans="1:19">
      <c r="A192" s="10">
        <v>2014</v>
      </c>
      <c r="B192" s="11" t="s">
        <v>483</v>
      </c>
      <c r="C192" s="11" t="s">
        <v>484</v>
      </c>
      <c r="D192" s="12">
        <v>1015042</v>
      </c>
      <c r="E192" s="12">
        <v>2</v>
      </c>
      <c r="F192" s="12"/>
      <c r="G192" s="12">
        <v>150</v>
      </c>
      <c r="H192" s="12" t="s">
        <v>61</v>
      </c>
      <c r="I192" s="12"/>
      <c r="J192" s="12" t="s">
        <v>358</v>
      </c>
      <c r="K192" s="12" t="b">
        <v>1</v>
      </c>
      <c r="L192" s="12">
        <v>4</v>
      </c>
      <c r="M192" s="8">
        <v>2018</v>
      </c>
      <c r="N192" s="9">
        <v>0</v>
      </c>
      <c r="O192" s="9">
        <v>0</v>
      </c>
      <c r="P192" s="9">
        <v>0</v>
      </c>
      <c r="Q192" s="9">
        <v>0</v>
      </c>
      <c r="R192" s="13">
        <v>41815</v>
      </c>
      <c r="S192" s="13">
        <v>41815</v>
      </c>
    </row>
    <row r="193" spans="1:19">
      <c r="A193" s="10">
        <v>2014</v>
      </c>
      <c r="B193" s="11" t="s">
        <v>483</v>
      </c>
      <c r="C193" s="11" t="s">
        <v>484</v>
      </c>
      <c r="D193" s="12">
        <v>1015042</v>
      </c>
      <c r="E193" s="12">
        <v>2</v>
      </c>
      <c r="F193" s="12"/>
      <c r="G193" s="12">
        <v>150</v>
      </c>
      <c r="H193" s="12" t="s">
        <v>61</v>
      </c>
      <c r="I193" s="12"/>
      <c r="J193" s="12" t="s">
        <v>358</v>
      </c>
      <c r="K193" s="12" t="b">
        <v>1</v>
      </c>
      <c r="L193" s="12">
        <v>7</v>
      </c>
      <c r="M193" s="8">
        <v>2021</v>
      </c>
      <c r="N193" s="9">
        <v>0</v>
      </c>
      <c r="O193" s="9">
        <v>0</v>
      </c>
      <c r="P193" s="9">
        <v>0</v>
      </c>
      <c r="Q193" s="9">
        <v>0</v>
      </c>
      <c r="R193" s="13">
        <v>41815</v>
      </c>
      <c r="S193" s="13">
        <v>41815</v>
      </c>
    </row>
    <row r="194" spans="1:19">
      <c r="A194" s="10">
        <v>2014</v>
      </c>
      <c r="B194" s="11" t="s">
        <v>483</v>
      </c>
      <c r="C194" s="11" t="s">
        <v>484</v>
      </c>
      <c r="D194" s="12">
        <v>1015042</v>
      </c>
      <c r="E194" s="12">
        <v>2</v>
      </c>
      <c r="F194" s="12"/>
      <c r="G194" s="12">
        <v>150</v>
      </c>
      <c r="H194" s="12" t="s">
        <v>61</v>
      </c>
      <c r="I194" s="12"/>
      <c r="J194" s="12" t="s">
        <v>358</v>
      </c>
      <c r="K194" s="12" t="b">
        <v>1</v>
      </c>
      <c r="L194" s="12">
        <v>3</v>
      </c>
      <c r="M194" s="8">
        <v>2017</v>
      </c>
      <c r="N194" s="9">
        <v>0</v>
      </c>
      <c r="O194" s="9">
        <v>0</v>
      </c>
      <c r="P194" s="9">
        <v>0</v>
      </c>
      <c r="Q194" s="9">
        <v>0</v>
      </c>
      <c r="R194" s="13">
        <v>41815</v>
      </c>
      <c r="S194" s="13">
        <v>41815</v>
      </c>
    </row>
    <row r="195" spans="1:19">
      <c r="A195" s="10">
        <v>2014</v>
      </c>
      <c r="B195" s="11" t="s">
        <v>483</v>
      </c>
      <c r="C195" s="11" t="s">
        <v>484</v>
      </c>
      <c r="D195" s="12">
        <v>1015042</v>
      </c>
      <c r="E195" s="12">
        <v>2</v>
      </c>
      <c r="F195" s="12"/>
      <c r="G195" s="12">
        <v>150</v>
      </c>
      <c r="H195" s="12" t="s">
        <v>61</v>
      </c>
      <c r="I195" s="12"/>
      <c r="J195" s="12" t="s">
        <v>358</v>
      </c>
      <c r="K195" s="12" t="b">
        <v>1</v>
      </c>
      <c r="L195" s="12">
        <v>6</v>
      </c>
      <c r="M195" s="8">
        <v>2020</v>
      </c>
      <c r="N195" s="9">
        <v>0</v>
      </c>
      <c r="O195" s="9">
        <v>0</v>
      </c>
      <c r="P195" s="9">
        <v>0</v>
      </c>
      <c r="Q195" s="9">
        <v>0</v>
      </c>
      <c r="R195" s="13">
        <v>41815</v>
      </c>
      <c r="S195" s="13">
        <v>41815</v>
      </c>
    </row>
    <row r="196" spans="1:19">
      <c r="A196" s="10">
        <v>2014</v>
      </c>
      <c r="B196" s="11" t="s">
        <v>483</v>
      </c>
      <c r="C196" s="11" t="s">
        <v>484</v>
      </c>
      <c r="D196" s="12">
        <v>1015042</v>
      </c>
      <c r="E196" s="12">
        <v>2</v>
      </c>
      <c r="F196" s="12"/>
      <c r="G196" s="12">
        <v>150</v>
      </c>
      <c r="H196" s="12" t="s">
        <v>61</v>
      </c>
      <c r="I196" s="12"/>
      <c r="J196" s="12" t="s">
        <v>358</v>
      </c>
      <c r="K196" s="12" t="b">
        <v>1</v>
      </c>
      <c r="L196" s="12">
        <v>2</v>
      </c>
      <c r="M196" s="8">
        <v>2016</v>
      </c>
      <c r="N196" s="9">
        <v>0</v>
      </c>
      <c r="O196" s="9">
        <v>0</v>
      </c>
      <c r="P196" s="9">
        <v>0</v>
      </c>
      <c r="Q196" s="9">
        <v>0</v>
      </c>
      <c r="R196" s="13">
        <v>41815</v>
      </c>
      <c r="S196" s="13">
        <v>41815</v>
      </c>
    </row>
    <row r="197" spans="1:19">
      <c r="A197" s="10">
        <v>2014</v>
      </c>
      <c r="B197" s="11" t="s">
        <v>483</v>
      </c>
      <c r="C197" s="11" t="s">
        <v>484</v>
      </c>
      <c r="D197" s="12">
        <v>1015042</v>
      </c>
      <c r="E197" s="12">
        <v>2</v>
      </c>
      <c r="F197" s="12"/>
      <c r="G197" s="12">
        <v>150</v>
      </c>
      <c r="H197" s="12" t="s">
        <v>61</v>
      </c>
      <c r="I197" s="12"/>
      <c r="J197" s="12" t="s">
        <v>358</v>
      </c>
      <c r="K197" s="12" t="b">
        <v>1</v>
      </c>
      <c r="L197" s="12">
        <v>5</v>
      </c>
      <c r="M197" s="8">
        <v>2019</v>
      </c>
      <c r="N197" s="9">
        <v>0</v>
      </c>
      <c r="O197" s="9">
        <v>0</v>
      </c>
      <c r="P197" s="9">
        <v>0</v>
      </c>
      <c r="Q197" s="9">
        <v>0</v>
      </c>
      <c r="R197" s="13">
        <v>41815</v>
      </c>
      <c r="S197" s="13">
        <v>41815</v>
      </c>
    </row>
    <row r="198" spans="1:19">
      <c r="A198" s="10">
        <v>2014</v>
      </c>
      <c r="B198" s="11" t="s">
        <v>483</v>
      </c>
      <c r="C198" s="11" t="s">
        <v>484</v>
      </c>
      <c r="D198" s="12">
        <v>1015042</v>
      </c>
      <c r="E198" s="12">
        <v>2</v>
      </c>
      <c r="F198" s="12"/>
      <c r="G198" s="12">
        <v>150</v>
      </c>
      <c r="H198" s="12" t="s">
        <v>61</v>
      </c>
      <c r="I198" s="12"/>
      <c r="J198" s="12" t="s">
        <v>358</v>
      </c>
      <c r="K198" s="12" t="b">
        <v>1</v>
      </c>
      <c r="L198" s="12">
        <v>0</v>
      </c>
      <c r="M198" s="8">
        <v>2014</v>
      </c>
      <c r="N198" s="9">
        <v>0</v>
      </c>
      <c r="O198" s="9">
        <v>0</v>
      </c>
      <c r="P198" s="9">
        <v>0</v>
      </c>
      <c r="Q198" s="9">
        <v>0</v>
      </c>
      <c r="R198" s="13">
        <v>41815</v>
      </c>
      <c r="S198" s="13">
        <v>41815</v>
      </c>
    </row>
    <row r="199" spans="1:19">
      <c r="A199" s="10">
        <v>2014</v>
      </c>
      <c r="B199" s="11" t="s">
        <v>483</v>
      </c>
      <c r="C199" s="11" t="s">
        <v>484</v>
      </c>
      <c r="D199" s="12">
        <v>1015042</v>
      </c>
      <c r="E199" s="12">
        <v>2</v>
      </c>
      <c r="F199" s="12"/>
      <c r="G199" s="12">
        <v>940</v>
      </c>
      <c r="H199" s="12">
        <v>14.4</v>
      </c>
      <c r="I199" s="12"/>
      <c r="J199" s="12" t="s">
        <v>135</v>
      </c>
      <c r="K199" s="12" t="b">
        <v>1</v>
      </c>
      <c r="L199" s="12">
        <v>0</v>
      </c>
      <c r="M199" s="8">
        <v>2014</v>
      </c>
      <c r="N199" s="9">
        <v>0</v>
      </c>
      <c r="O199" s="9">
        <v>0</v>
      </c>
      <c r="P199" s="9">
        <v>0</v>
      </c>
      <c r="Q199" s="9">
        <v>0</v>
      </c>
      <c r="R199" s="13">
        <v>41815</v>
      </c>
      <c r="S199" s="13">
        <v>41815</v>
      </c>
    </row>
    <row r="200" spans="1:19">
      <c r="A200" s="10">
        <v>2014</v>
      </c>
      <c r="B200" s="11" t="s">
        <v>483</v>
      </c>
      <c r="C200" s="11" t="s">
        <v>484</v>
      </c>
      <c r="D200" s="12">
        <v>1015042</v>
      </c>
      <c r="E200" s="12">
        <v>2</v>
      </c>
      <c r="F200" s="12"/>
      <c r="G200" s="12">
        <v>940</v>
      </c>
      <c r="H200" s="12">
        <v>14.4</v>
      </c>
      <c r="I200" s="12"/>
      <c r="J200" s="12" t="s">
        <v>135</v>
      </c>
      <c r="K200" s="12" t="b">
        <v>1</v>
      </c>
      <c r="L200" s="12">
        <v>1</v>
      </c>
      <c r="M200" s="8">
        <v>2015</v>
      </c>
      <c r="N200" s="9">
        <v>0</v>
      </c>
      <c r="O200" s="9">
        <v>0</v>
      </c>
      <c r="P200" s="9">
        <v>0</v>
      </c>
      <c r="Q200" s="9">
        <v>0</v>
      </c>
      <c r="R200" s="13">
        <v>41815</v>
      </c>
      <c r="S200" s="13">
        <v>41815</v>
      </c>
    </row>
    <row r="201" spans="1:19">
      <c r="A201" s="10">
        <v>2014</v>
      </c>
      <c r="B201" s="11" t="s">
        <v>483</v>
      </c>
      <c r="C201" s="11" t="s">
        <v>484</v>
      </c>
      <c r="D201" s="12">
        <v>1015042</v>
      </c>
      <c r="E201" s="12">
        <v>2</v>
      </c>
      <c r="F201" s="12"/>
      <c r="G201" s="12">
        <v>940</v>
      </c>
      <c r="H201" s="12">
        <v>14.4</v>
      </c>
      <c r="I201" s="12"/>
      <c r="J201" s="12" t="s">
        <v>135</v>
      </c>
      <c r="K201" s="12" t="b">
        <v>1</v>
      </c>
      <c r="L201" s="12">
        <v>5</v>
      </c>
      <c r="M201" s="8">
        <v>2019</v>
      </c>
      <c r="N201" s="9">
        <v>0</v>
      </c>
      <c r="O201" s="9">
        <v>0</v>
      </c>
      <c r="P201" s="9">
        <v>0</v>
      </c>
      <c r="Q201" s="9">
        <v>0</v>
      </c>
      <c r="R201" s="13">
        <v>41815</v>
      </c>
      <c r="S201" s="13">
        <v>41815</v>
      </c>
    </row>
    <row r="202" spans="1:19">
      <c r="A202" s="10">
        <v>2014</v>
      </c>
      <c r="B202" s="11" t="s">
        <v>483</v>
      </c>
      <c r="C202" s="11" t="s">
        <v>484</v>
      </c>
      <c r="D202" s="12">
        <v>1015042</v>
      </c>
      <c r="E202" s="12">
        <v>2</v>
      </c>
      <c r="F202" s="12"/>
      <c r="G202" s="12">
        <v>940</v>
      </c>
      <c r="H202" s="12">
        <v>14.4</v>
      </c>
      <c r="I202" s="12"/>
      <c r="J202" s="12" t="s">
        <v>135</v>
      </c>
      <c r="K202" s="12" t="b">
        <v>1</v>
      </c>
      <c r="L202" s="12">
        <v>8</v>
      </c>
      <c r="M202" s="8">
        <v>2022</v>
      </c>
      <c r="N202" s="9">
        <v>0</v>
      </c>
      <c r="O202" s="9">
        <v>0</v>
      </c>
      <c r="P202" s="9">
        <v>0</v>
      </c>
      <c r="Q202" s="9">
        <v>0</v>
      </c>
      <c r="R202" s="13">
        <v>41815</v>
      </c>
      <c r="S202" s="13">
        <v>41815</v>
      </c>
    </row>
    <row r="203" spans="1:19">
      <c r="A203" s="10">
        <v>2014</v>
      </c>
      <c r="B203" s="11" t="s">
        <v>483</v>
      </c>
      <c r="C203" s="11" t="s">
        <v>484</v>
      </c>
      <c r="D203" s="12">
        <v>1015042</v>
      </c>
      <c r="E203" s="12">
        <v>2</v>
      </c>
      <c r="F203" s="12"/>
      <c r="G203" s="12">
        <v>940</v>
      </c>
      <c r="H203" s="12">
        <v>14.4</v>
      </c>
      <c r="I203" s="12"/>
      <c r="J203" s="12" t="s">
        <v>135</v>
      </c>
      <c r="K203" s="12" t="b">
        <v>1</v>
      </c>
      <c r="L203" s="12">
        <v>2</v>
      </c>
      <c r="M203" s="8">
        <v>2016</v>
      </c>
      <c r="N203" s="9">
        <v>0</v>
      </c>
      <c r="O203" s="9">
        <v>0</v>
      </c>
      <c r="P203" s="9">
        <v>0</v>
      </c>
      <c r="Q203" s="9">
        <v>0</v>
      </c>
      <c r="R203" s="13">
        <v>41815</v>
      </c>
      <c r="S203" s="13">
        <v>41815</v>
      </c>
    </row>
    <row r="204" spans="1:19">
      <c r="A204" s="10">
        <v>2014</v>
      </c>
      <c r="B204" s="11" t="s">
        <v>483</v>
      </c>
      <c r="C204" s="11" t="s">
        <v>484</v>
      </c>
      <c r="D204" s="12">
        <v>1015042</v>
      </c>
      <c r="E204" s="12">
        <v>2</v>
      </c>
      <c r="F204" s="12"/>
      <c r="G204" s="12">
        <v>940</v>
      </c>
      <c r="H204" s="12">
        <v>14.4</v>
      </c>
      <c r="I204" s="12"/>
      <c r="J204" s="12" t="s">
        <v>135</v>
      </c>
      <c r="K204" s="12" t="b">
        <v>1</v>
      </c>
      <c r="L204" s="12">
        <v>7</v>
      </c>
      <c r="M204" s="8">
        <v>2021</v>
      </c>
      <c r="N204" s="9">
        <v>0</v>
      </c>
      <c r="O204" s="9">
        <v>0</v>
      </c>
      <c r="P204" s="9">
        <v>0</v>
      </c>
      <c r="Q204" s="9">
        <v>0</v>
      </c>
      <c r="R204" s="13">
        <v>41815</v>
      </c>
      <c r="S204" s="13">
        <v>41815</v>
      </c>
    </row>
    <row r="205" spans="1:19">
      <c r="A205" s="10">
        <v>2014</v>
      </c>
      <c r="B205" s="11" t="s">
        <v>483</v>
      </c>
      <c r="C205" s="11" t="s">
        <v>484</v>
      </c>
      <c r="D205" s="12">
        <v>1015042</v>
      </c>
      <c r="E205" s="12">
        <v>2</v>
      </c>
      <c r="F205" s="12"/>
      <c r="G205" s="12">
        <v>940</v>
      </c>
      <c r="H205" s="12">
        <v>14.4</v>
      </c>
      <c r="I205" s="12"/>
      <c r="J205" s="12" t="s">
        <v>135</v>
      </c>
      <c r="K205" s="12" t="b">
        <v>1</v>
      </c>
      <c r="L205" s="12">
        <v>4</v>
      </c>
      <c r="M205" s="8">
        <v>2018</v>
      </c>
      <c r="N205" s="9">
        <v>0</v>
      </c>
      <c r="O205" s="9">
        <v>0</v>
      </c>
      <c r="P205" s="9">
        <v>0</v>
      </c>
      <c r="Q205" s="9">
        <v>0</v>
      </c>
      <c r="R205" s="13">
        <v>41815</v>
      </c>
      <c r="S205" s="13">
        <v>41815</v>
      </c>
    </row>
    <row r="206" spans="1:19">
      <c r="A206" s="10">
        <v>2014</v>
      </c>
      <c r="B206" s="11" t="s">
        <v>483</v>
      </c>
      <c r="C206" s="11" t="s">
        <v>484</v>
      </c>
      <c r="D206" s="12">
        <v>1015042</v>
      </c>
      <c r="E206" s="12">
        <v>2</v>
      </c>
      <c r="F206" s="12"/>
      <c r="G206" s="12">
        <v>940</v>
      </c>
      <c r="H206" s="12">
        <v>14.4</v>
      </c>
      <c r="I206" s="12"/>
      <c r="J206" s="12" t="s">
        <v>135</v>
      </c>
      <c r="K206" s="12" t="b">
        <v>1</v>
      </c>
      <c r="L206" s="12">
        <v>6</v>
      </c>
      <c r="M206" s="8">
        <v>2020</v>
      </c>
      <c r="N206" s="9">
        <v>0</v>
      </c>
      <c r="O206" s="9">
        <v>0</v>
      </c>
      <c r="P206" s="9">
        <v>0</v>
      </c>
      <c r="Q206" s="9">
        <v>0</v>
      </c>
      <c r="R206" s="13">
        <v>41815</v>
      </c>
      <c r="S206" s="13">
        <v>41815</v>
      </c>
    </row>
    <row r="207" spans="1:19">
      <c r="A207" s="10">
        <v>2014</v>
      </c>
      <c r="B207" s="11" t="s">
        <v>483</v>
      </c>
      <c r="C207" s="11" t="s">
        <v>484</v>
      </c>
      <c r="D207" s="12">
        <v>1015042</v>
      </c>
      <c r="E207" s="12">
        <v>2</v>
      </c>
      <c r="F207" s="12"/>
      <c r="G207" s="12">
        <v>940</v>
      </c>
      <c r="H207" s="12">
        <v>14.4</v>
      </c>
      <c r="I207" s="12"/>
      <c r="J207" s="12" t="s">
        <v>135</v>
      </c>
      <c r="K207" s="12" t="b">
        <v>1</v>
      </c>
      <c r="L207" s="12">
        <v>3</v>
      </c>
      <c r="M207" s="8">
        <v>2017</v>
      </c>
      <c r="N207" s="9">
        <v>0</v>
      </c>
      <c r="O207" s="9">
        <v>0</v>
      </c>
      <c r="P207" s="9">
        <v>0</v>
      </c>
      <c r="Q207" s="9">
        <v>0</v>
      </c>
      <c r="R207" s="13">
        <v>41815</v>
      </c>
      <c r="S207" s="13">
        <v>41815</v>
      </c>
    </row>
    <row r="208" spans="1:19">
      <c r="A208" s="10">
        <v>2014</v>
      </c>
      <c r="B208" s="11" t="s">
        <v>483</v>
      </c>
      <c r="C208" s="11" t="s">
        <v>484</v>
      </c>
      <c r="D208" s="12">
        <v>1015042</v>
      </c>
      <c r="E208" s="12">
        <v>2</v>
      </c>
      <c r="F208" s="12"/>
      <c r="G208" s="12">
        <v>190</v>
      </c>
      <c r="H208" s="12">
        <v>2.2000000000000002</v>
      </c>
      <c r="I208" s="12"/>
      <c r="J208" s="12" t="s">
        <v>65</v>
      </c>
      <c r="K208" s="12" t="b">
        <v>0</v>
      </c>
      <c r="L208" s="12">
        <v>1</v>
      </c>
      <c r="M208" s="8">
        <v>2015</v>
      </c>
      <c r="N208" s="9">
        <v>3567032.3</v>
      </c>
      <c r="O208" s="9">
        <v>2135695.2200000002</v>
      </c>
      <c r="P208" s="9">
        <v>3272792</v>
      </c>
      <c r="Q208" s="9">
        <v>2764862.6</v>
      </c>
      <c r="R208" s="13">
        <v>41815</v>
      </c>
      <c r="S208" s="13">
        <v>41815</v>
      </c>
    </row>
    <row r="209" spans="1:19">
      <c r="A209" s="10">
        <v>2014</v>
      </c>
      <c r="B209" s="11" t="s">
        <v>483</v>
      </c>
      <c r="C209" s="11" t="s">
        <v>484</v>
      </c>
      <c r="D209" s="12">
        <v>1015042</v>
      </c>
      <c r="E209" s="12">
        <v>2</v>
      </c>
      <c r="F209" s="12"/>
      <c r="G209" s="12">
        <v>190</v>
      </c>
      <c r="H209" s="12">
        <v>2.2000000000000002</v>
      </c>
      <c r="I209" s="12"/>
      <c r="J209" s="12" t="s">
        <v>65</v>
      </c>
      <c r="K209" s="12" t="b">
        <v>0</v>
      </c>
      <c r="L209" s="12">
        <v>6</v>
      </c>
      <c r="M209" s="8">
        <v>2020</v>
      </c>
      <c r="N209" s="9">
        <v>3567032.3</v>
      </c>
      <c r="O209" s="9">
        <v>2135695.2200000002</v>
      </c>
      <c r="P209" s="9">
        <v>3272792</v>
      </c>
      <c r="Q209" s="9">
        <v>2764862.6</v>
      </c>
      <c r="R209" s="13">
        <v>41815</v>
      </c>
      <c r="S209" s="13">
        <v>41815</v>
      </c>
    </row>
    <row r="210" spans="1:19">
      <c r="A210" s="10">
        <v>2014</v>
      </c>
      <c r="B210" s="11" t="s">
        <v>483</v>
      </c>
      <c r="C210" s="11" t="s">
        <v>484</v>
      </c>
      <c r="D210" s="12">
        <v>1015042</v>
      </c>
      <c r="E210" s="12">
        <v>2</v>
      </c>
      <c r="F210" s="12"/>
      <c r="G210" s="12">
        <v>190</v>
      </c>
      <c r="H210" s="12">
        <v>2.2000000000000002</v>
      </c>
      <c r="I210" s="12"/>
      <c r="J210" s="12" t="s">
        <v>65</v>
      </c>
      <c r="K210" s="12" t="b">
        <v>0</v>
      </c>
      <c r="L210" s="12">
        <v>4</v>
      </c>
      <c r="M210" s="8">
        <v>2018</v>
      </c>
      <c r="N210" s="9">
        <v>3567032.3</v>
      </c>
      <c r="O210" s="9">
        <v>2135695.2200000002</v>
      </c>
      <c r="P210" s="9">
        <v>3272792</v>
      </c>
      <c r="Q210" s="9">
        <v>2764862.6</v>
      </c>
      <c r="R210" s="13">
        <v>41815</v>
      </c>
      <c r="S210" s="13">
        <v>41815</v>
      </c>
    </row>
    <row r="211" spans="1:19">
      <c r="A211" s="10">
        <v>2014</v>
      </c>
      <c r="B211" s="11" t="s">
        <v>483</v>
      </c>
      <c r="C211" s="11" t="s">
        <v>484</v>
      </c>
      <c r="D211" s="12">
        <v>1015042</v>
      </c>
      <c r="E211" s="12">
        <v>2</v>
      </c>
      <c r="F211" s="12"/>
      <c r="G211" s="12">
        <v>190</v>
      </c>
      <c r="H211" s="12">
        <v>2.2000000000000002</v>
      </c>
      <c r="I211" s="12"/>
      <c r="J211" s="12" t="s">
        <v>65</v>
      </c>
      <c r="K211" s="12" t="b">
        <v>0</v>
      </c>
      <c r="L211" s="12">
        <v>7</v>
      </c>
      <c r="M211" s="8">
        <v>2021</v>
      </c>
      <c r="N211" s="9">
        <v>3567032.3</v>
      </c>
      <c r="O211" s="9">
        <v>2135695.2200000002</v>
      </c>
      <c r="P211" s="9">
        <v>3272792</v>
      </c>
      <c r="Q211" s="9">
        <v>2764862.6</v>
      </c>
      <c r="R211" s="13">
        <v>41815</v>
      </c>
      <c r="S211" s="13">
        <v>41815</v>
      </c>
    </row>
    <row r="212" spans="1:19">
      <c r="A212" s="10">
        <v>2014</v>
      </c>
      <c r="B212" s="11" t="s">
        <v>483</v>
      </c>
      <c r="C212" s="11" t="s">
        <v>484</v>
      </c>
      <c r="D212" s="12">
        <v>1015042</v>
      </c>
      <c r="E212" s="12">
        <v>2</v>
      </c>
      <c r="F212" s="12"/>
      <c r="G212" s="12">
        <v>190</v>
      </c>
      <c r="H212" s="12">
        <v>2.2000000000000002</v>
      </c>
      <c r="I212" s="12"/>
      <c r="J212" s="12" t="s">
        <v>65</v>
      </c>
      <c r="K212" s="12" t="b">
        <v>0</v>
      </c>
      <c r="L212" s="12">
        <v>3</v>
      </c>
      <c r="M212" s="8">
        <v>2017</v>
      </c>
      <c r="N212" s="9">
        <v>3567032.3</v>
      </c>
      <c r="O212" s="9">
        <v>2135695.2200000002</v>
      </c>
      <c r="P212" s="9">
        <v>3272792</v>
      </c>
      <c r="Q212" s="9">
        <v>2764862.6</v>
      </c>
      <c r="R212" s="13">
        <v>41815</v>
      </c>
      <c r="S212" s="13">
        <v>41815</v>
      </c>
    </row>
    <row r="213" spans="1:19">
      <c r="A213" s="10">
        <v>2014</v>
      </c>
      <c r="B213" s="11" t="s">
        <v>483</v>
      </c>
      <c r="C213" s="11" t="s">
        <v>484</v>
      </c>
      <c r="D213" s="12">
        <v>1015042</v>
      </c>
      <c r="E213" s="12">
        <v>2</v>
      </c>
      <c r="F213" s="12"/>
      <c r="G213" s="12">
        <v>190</v>
      </c>
      <c r="H213" s="12">
        <v>2.2000000000000002</v>
      </c>
      <c r="I213" s="12"/>
      <c r="J213" s="12" t="s">
        <v>65</v>
      </c>
      <c r="K213" s="12" t="b">
        <v>0</v>
      </c>
      <c r="L213" s="12">
        <v>2</v>
      </c>
      <c r="M213" s="8">
        <v>2016</v>
      </c>
      <c r="N213" s="9">
        <v>3567032.3</v>
      </c>
      <c r="O213" s="9">
        <v>2135695.2200000002</v>
      </c>
      <c r="P213" s="9">
        <v>3272792</v>
      </c>
      <c r="Q213" s="9">
        <v>2764862.6</v>
      </c>
      <c r="R213" s="13">
        <v>41815</v>
      </c>
      <c r="S213" s="13">
        <v>41815</v>
      </c>
    </row>
    <row r="214" spans="1:19">
      <c r="A214" s="10">
        <v>2014</v>
      </c>
      <c r="B214" s="11" t="s">
        <v>483</v>
      </c>
      <c r="C214" s="11" t="s">
        <v>484</v>
      </c>
      <c r="D214" s="12">
        <v>1015042</v>
      </c>
      <c r="E214" s="12">
        <v>2</v>
      </c>
      <c r="F214" s="12"/>
      <c r="G214" s="12">
        <v>190</v>
      </c>
      <c r="H214" s="12">
        <v>2.2000000000000002</v>
      </c>
      <c r="I214" s="12"/>
      <c r="J214" s="12" t="s">
        <v>65</v>
      </c>
      <c r="K214" s="12" t="b">
        <v>0</v>
      </c>
      <c r="L214" s="12">
        <v>8</v>
      </c>
      <c r="M214" s="8">
        <v>2022</v>
      </c>
      <c r="N214" s="9">
        <v>3567032.3</v>
      </c>
      <c r="O214" s="9">
        <v>2135695.2200000002</v>
      </c>
      <c r="P214" s="9">
        <v>3272792</v>
      </c>
      <c r="Q214" s="9">
        <v>2764862.6</v>
      </c>
      <c r="R214" s="13">
        <v>41815</v>
      </c>
      <c r="S214" s="13">
        <v>41815</v>
      </c>
    </row>
    <row r="215" spans="1:19">
      <c r="A215" s="10">
        <v>2014</v>
      </c>
      <c r="B215" s="11" t="s">
        <v>483</v>
      </c>
      <c r="C215" s="11" t="s">
        <v>484</v>
      </c>
      <c r="D215" s="12">
        <v>1015042</v>
      </c>
      <c r="E215" s="12">
        <v>2</v>
      </c>
      <c r="F215" s="12"/>
      <c r="G215" s="12">
        <v>190</v>
      </c>
      <c r="H215" s="12">
        <v>2.2000000000000002</v>
      </c>
      <c r="I215" s="12"/>
      <c r="J215" s="12" t="s">
        <v>65</v>
      </c>
      <c r="K215" s="12" t="b">
        <v>0</v>
      </c>
      <c r="L215" s="12">
        <v>5</v>
      </c>
      <c r="M215" s="8">
        <v>2019</v>
      </c>
      <c r="N215" s="9">
        <v>3567032.3</v>
      </c>
      <c r="O215" s="9">
        <v>2135695.2200000002</v>
      </c>
      <c r="P215" s="9">
        <v>3272792</v>
      </c>
      <c r="Q215" s="9">
        <v>2764862.6</v>
      </c>
      <c r="R215" s="13">
        <v>41815</v>
      </c>
      <c r="S215" s="13">
        <v>41815</v>
      </c>
    </row>
    <row r="216" spans="1:19">
      <c r="A216" s="10">
        <v>2014</v>
      </c>
      <c r="B216" s="11" t="s">
        <v>483</v>
      </c>
      <c r="C216" s="11" t="s">
        <v>484</v>
      </c>
      <c r="D216" s="12">
        <v>1015042</v>
      </c>
      <c r="E216" s="12">
        <v>2</v>
      </c>
      <c r="F216" s="12"/>
      <c r="G216" s="12">
        <v>190</v>
      </c>
      <c r="H216" s="12">
        <v>2.2000000000000002</v>
      </c>
      <c r="I216" s="12"/>
      <c r="J216" s="12" t="s">
        <v>65</v>
      </c>
      <c r="K216" s="12" t="b">
        <v>0</v>
      </c>
      <c r="L216" s="12">
        <v>0</v>
      </c>
      <c r="M216" s="8">
        <v>2014</v>
      </c>
      <c r="N216" s="9">
        <v>3567032.3</v>
      </c>
      <c r="O216" s="9">
        <v>2135695.2200000002</v>
      </c>
      <c r="P216" s="9">
        <v>3272792</v>
      </c>
      <c r="Q216" s="9">
        <v>2764862.6</v>
      </c>
      <c r="R216" s="13">
        <v>41815</v>
      </c>
      <c r="S216" s="13">
        <v>41815</v>
      </c>
    </row>
    <row r="217" spans="1:19">
      <c r="A217" s="10">
        <v>2014</v>
      </c>
      <c r="B217" s="11" t="s">
        <v>483</v>
      </c>
      <c r="C217" s="11" t="s">
        <v>484</v>
      </c>
      <c r="D217" s="12">
        <v>1015042</v>
      </c>
      <c r="E217" s="12">
        <v>2</v>
      </c>
      <c r="F217" s="12"/>
      <c r="G217" s="12">
        <v>810</v>
      </c>
      <c r="H217" s="12">
        <v>13.2</v>
      </c>
      <c r="I217" s="12"/>
      <c r="J217" s="12" t="s">
        <v>120</v>
      </c>
      <c r="K217" s="12" t="b">
        <v>1</v>
      </c>
      <c r="L217" s="12">
        <v>0</v>
      </c>
      <c r="M217" s="8">
        <v>2014</v>
      </c>
      <c r="N217" s="9">
        <v>0</v>
      </c>
      <c r="O217" s="9">
        <v>0</v>
      </c>
      <c r="P217" s="9">
        <v>0</v>
      </c>
      <c r="Q217" s="9">
        <v>0</v>
      </c>
      <c r="R217" s="13">
        <v>41815</v>
      </c>
      <c r="S217" s="13">
        <v>41815</v>
      </c>
    </row>
    <row r="218" spans="1:19">
      <c r="A218" s="10">
        <v>2014</v>
      </c>
      <c r="B218" s="11" t="s">
        <v>483</v>
      </c>
      <c r="C218" s="11" t="s">
        <v>484</v>
      </c>
      <c r="D218" s="12">
        <v>1015042</v>
      </c>
      <c r="E218" s="12">
        <v>2</v>
      </c>
      <c r="F218" s="12"/>
      <c r="G218" s="12">
        <v>810</v>
      </c>
      <c r="H218" s="12">
        <v>13.2</v>
      </c>
      <c r="I218" s="12"/>
      <c r="J218" s="12" t="s">
        <v>120</v>
      </c>
      <c r="K218" s="12" t="b">
        <v>1</v>
      </c>
      <c r="L218" s="12">
        <v>6</v>
      </c>
      <c r="M218" s="8">
        <v>2020</v>
      </c>
      <c r="N218" s="9">
        <v>0</v>
      </c>
      <c r="O218" s="9">
        <v>0</v>
      </c>
      <c r="P218" s="9">
        <v>0</v>
      </c>
      <c r="Q218" s="9">
        <v>0</v>
      </c>
      <c r="R218" s="13">
        <v>41815</v>
      </c>
      <c r="S218" s="13">
        <v>41815</v>
      </c>
    </row>
    <row r="219" spans="1:19">
      <c r="A219" s="10">
        <v>2014</v>
      </c>
      <c r="B219" s="11" t="s">
        <v>483</v>
      </c>
      <c r="C219" s="11" t="s">
        <v>484</v>
      </c>
      <c r="D219" s="12">
        <v>1015042</v>
      </c>
      <c r="E219" s="12">
        <v>2</v>
      </c>
      <c r="F219" s="12"/>
      <c r="G219" s="12">
        <v>810</v>
      </c>
      <c r="H219" s="12">
        <v>13.2</v>
      </c>
      <c r="I219" s="12"/>
      <c r="J219" s="12" t="s">
        <v>120</v>
      </c>
      <c r="K219" s="12" t="b">
        <v>1</v>
      </c>
      <c r="L219" s="12">
        <v>7</v>
      </c>
      <c r="M219" s="8">
        <v>2021</v>
      </c>
      <c r="N219" s="9">
        <v>0</v>
      </c>
      <c r="O219" s="9">
        <v>0</v>
      </c>
      <c r="P219" s="9">
        <v>0</v>
      </c>
      <c r="Q219" s="9">
        <v>0</v>
      </c>
      <c r="R219" s="13">
        <v>41815</v>
      </c>
      <c r="S219" s="13">
        <v>41815</v>
      </c>
    </row>
    <row r="220" spans="1:19">
      <c r="A220" s="10">
        <v>2014</v>
      </c>
      <c r="B220" s="11" t="s">
        <v>483</v>
      </c>
      <c r="C220" s="11" t="s">
        <v>484</v>
      </c>
      <c r="D220" s="12">
        <v>1015042</v>
      </c>
      <c r="E220" s="12">
        <v>2</v>
      </c>
      <c r="F220" s="12"/>
      <c r="G220" s="12">
        <v>810</v>
      </c>
      <c r="H220" s="12">
        <v>13.2</v>
      </c>
      <c r="I220" s="12"/>
      <c r="J220" s="12" t="s">
        <v>120</v>
      </c>
      <c r="K220" s="12" t="b">
        <v>1</v>
      </c>
      <c r="L220" s="12">
        <v>4</v>
      </c>
      <c r="M220" s="8">
        <v>2018</v>
      </c>
      <c r="N220" s="9">
        <v>0</v>
      </c>
      <c r="O220" s="9">
        <v>0</v>
      </c>
      <c r="P220" s="9">
        <v>0</v>
      </c>
      <c r="Q220" s="9">
        <v>0</v>
      </c>
      <c r="R220" s="13">
        <v>41815</v>
      </c>
      <c r="S220" s="13">
        <v>41815</v>
      </c>
    </row>
    <row r="221" spans="1:19">
      <c r="A221" s="10">
        <v>2014</v>
      </c>
      <c r="B221" s="11" t="s">
        <v>483</v>
      </c>
      <c r="C221" s="11" t="s">
        <v>484</v>
      </c>
      <c r="D221" s="12">
        <v>1015042</v>
      </c>
      <c r="E221" s="12">
        <v>2</v>
      </c>
      <c r="F221" s="12"/>
      <c r="G221" s="12">
        <v>810</v>
      </c>
      <c r="H221" s="12">
        <v>13.2</v>
      </c>
      <c r="I221" s="12"/>
      <c r="J221" s="12" t="s">
        <v>120</v>
      </c>
      <c r="K221" s="12" t="b">
        <v>1</v>
      </c>
      <c r="L221" s="12">
        <v>3</v>
      </c>
      <c r="M221" s="8">
        <v>2017</v>
      </c>
      <c r="N221" s="9">
        <v>0</v>
      </c>
      <c r="O221" s="9">
        <v>0</v>
      </c>
      <c r="P221" s="9">
        <v>0</v>
      </c>
      <c r="Q221" s="9">
        <v>0</v>
      </c>
      <c r="R221" s="13">
        <v>41815</v>
      </c>
      <c r="S221" s="13">
        <v>41815</v>
      </c>
    </row>
    <row r="222" spans="1:19">
      <c r="A222" s="10">
        <v>2014</v>
      </c>
      <c r="B222" s="11" t="s">
        <v>483</v>
      </c>
      <c r="C222" s="11" t="s">
        <v>484</v>
      </c>
      <c r="D222" s="12">
        <v>1015042</v>
      </c>
      <c r="E222" s="12">
        <v>2</v>
      </c>
      <c r="F222" s="12"/>
      <c r="G222" s="12">
        <v>336</v>
      </c>
      <c r="H222" s="12" t="s">
        <v>374</v>
      </c>
      <c r="I222" s="12"/>
      <c r="J222" s="12" t="s">
        <v>375</v>
      </c>
      <c r="K222" s="12" t="b">
        <v>1</v>
      </c>
      <c r="L222" s="12">
        <v>3</v>
      </c>
      <c r="M222" s="8">
        <v>2017</v>
      </c>
      <c r="N222" s="9">
        <v>0</v>
      </c>
      <c r="O222" s="9">
        <v>0</v>
      </c>
      <c r="P222" s="9">
        <v>0</v>
      </c>
      <c r="Q222" s="9">
        <v>0</v>
      </c>
      <c r="R222" s="13">
        <v>41815</v>
      </c>
      <c r="S222" s="13">
        <v>41815</v>
      </c>
    </row>
    <row r="223" spans="1:19">
      <c r="A223" s="10">
        <v>2014</v>
      </c>
      <c r="B223" s="11" t="s">
        <v>483</v>
      </c>
      <c r="C223" s="11" t="s">
        <v>484</v>
      </c>
      <c r="D223" s="12">
        <v>1015042</v>
      </c>
      <c r="E223" s="12">
        <v>2</v>
      </c>
      <c r="F223" s="12"/>
      <c r="G223" s="12">
        <v>810</v>
      </c>
      <c r="H223" s="12">
        <v>13.2</v>
      </c>
      <c r="I223" s="12"/>
      <c r="J223" s="12" t="s">
        <v>120</v>
      </c>
      <c r="K223" s="12" t="b">
        <v>1</v>
      </c>
      <c r="L223" s="12">
        <v>1</v>
      </c>
      <c r="M223" s="8">
        <v>2015</v>
      </c>
      <c r="N223" s="9">
        <v>0</v>
      </c>
      <c r="O223" s="9">
        <v>0</v>
      </c>
      <c r="P223" s="9">
        <v>0</v>
      </c>
      <c r="Q223" s="9">
        <v>0</v>
      </c>
      <c r="R223" s="13">
        <v>41815</v>
      </c>
      <c r="S223" s="13">
        <v>41815</v>
      </c>
    </row>
    <row r="224" spans="1:19">
      <c r="A224" s="10">
        <v>2014</v>
      </c>
      <c r="B224" s="11" t="s">
        <v>483</v>
      </c>
      <c r="C224" s="11" t="s">
        <v>484</v>
      </c>
      <c r="D224" s="12">
        <v>1015042</v>
      </c>
      <c r="E224" s="12">
        <v>2</v>
      </c>
      <c r="F224" s="12"/>
      <c r="G224" s="12">
        <v>810</v>
      </c>
      <c r="H224" s="12">
        <v>13.2</v>
      </c>
      <c r="I224" s="12"/>
      <c r="J224" s="12" t="s">
        <v>120</v>
      </c>
      <c r="K224" s="12" t="b">
        <v>1</v>
      </c>
      <c r="L224" s="12">
        <v>5</v>
      </c>
      <c r="M224" s="8">
        <v>2019</v>
      </c>
      <c r="N224" s="9">
        <v>0</v>
      </c>
      <c r="O224" s="9">
        <v>0</v>
      </c>
      <c r="P224" s="9">
        <v>0</v>
      </c>
      <c r="Q224" s="9">
        <v>0</v>
      </c>
      <c r="R224" s="13">
        <v>41815</v>
      </c>
      <c r="S224" s="13">
        <v>41815</v>
      </c>
    </row>
    <row r="225" spans="1:19">
      <c r="A225" s="10">
        <v>2014</v>
      </c>
      <c r="B225" s="11" t="s">
        <v>483</v>
      </c>
      <c r="C225" s="11" t="s">
        <v>484</v>
      </c>
      <c r="D225" s="12">
        <v>1015042</v>
      </c>
      <c r="E225" s="12">
        <v>2</v>
      </c>
      <c r="F225" s="12"/>
      <c r="G225" s="12">
        <v>810</v>
      </c>
      <c r="H225" s="12">
        <v>13.2</v>
      </c>
      <c r="I225" s="12"/>
      <c r="J225" s="12" t="s">
        <v>120</v>
      </c>
      <c r="K225" s="12" t="b">
        <v>1</v>
      </c>
      <c r="L225" s="12">
        <v>2</v>
      </c>
      <c r="M225" s="8">
        <v>2016</v>
      </c>
      <c r="N225" s="9">
        <v>0</v>
      </c>
      <c r="O225" s="9">
        <v>0</v>
      </c>
      <c r="P225" s="9">
        <v>0</v>
      </c>
      <c r="Q225" s="9">
        <v>0</v>
      </c>
      <c r="R225" s="13">
        <v>41815</v>
      </c>
      <c r="S225" s="13">
        <v>41815</v>
      </c>
    </row>
    <row r="226" spans="1:19">
      <c r="A226" s="10">
        <v>2014</v>
      </c>
      <c r="B226" s="11" t="s">
        <v>483</v>
      </c>
      <c r="C226" s="11" t="s">
        <v>484</v>
      </c>
      <c r="D226" s="12">
        <v>1015042</v>
      </c>
      <c r="E226" s="12">
        <v>2</v>
      </c>
      <c r="F226" s="12"/>
      <c r="G226" s="12">
        <v>810</v>
      </c>
      <c r="H226" s="12">
        <v>13.2</v>
      </c>
      <c r="I226" s="12"/>
      <c r="J226" s="12" t="s">
        <v>120</v>
      </c>
      <c r="K226" s="12" t="b">
        <v>1</v>
      </c>
      <c r="L226" s="12">
        <v>8</v>
      </c>
      <c r="M226" s="8">
        <v>2022</v>
      </c>
      <c r="N226" s="9">
        <v>0</v>
      </c>
      <c r="O226" s="9">
        <v>0</v>
      </c>
      <c r="P226" s="9">
        <v>0</v>
      </c>
      <c r="Q226" s="9">
        <v>0</v>
      </c>
      <c r="R226" s="13">
        <v>41815</v>
      </c>
      <c r="S226" s="13">
        <v>41815</v>
      </c>
    </row>
    <row r="227" spans="1:19">
      <c r="A227" s="10">
        <v>2014</v>
      </c>
      <c r="B227" s="11" t="s">
        <v>483</v>
      </c>
      <c r="C227" s="11" t="s">
        <v>484</v>
      </c>
      <c r="D227" s="12">
        <v>1015042</v>
      </c>
      <c r="E227" s="12">
        <v>2</v>
      </c>
      <c r="F227" s="12"/>
      <c r="G227" s="12">
        <v>480</v>
      </c>
      <c r="H227" s="12">
        <v>9.1999999999999993</v>
      </c>
      <c r="I227" s="12" t="s">
        <v>381</v>
      </c>
      <c r="J227" s="12" t="s">
        <v>382</v>
      </c>
      <c r="K227" s="12" t="b">
        <v>0</v>
      </c>
      <c r="L227" s="12">
        <v>1</v>
      </c>
      <c r="M227" s="8">
        <v>2015</v>
      </c>
      <c r="N227" s="9">
        <v>1.34E-2</v>
      </c>
      <c r="O227" s="9">
        <v>7.4300000000000005E-2</v>
      </c>
      <c r="P227" s="9">
        <v>4.7300000000000002E-2</v>
      </c>
      <c r="Q227" s="9">
        <v>4.48E-2</v>
      </c>
      <c r="R227" s="13">
        <v>41815</v>
      </c>
      <c r="S227" s="13">
        <v>41815</v>
      </c>
    </row>
    <row r="228" spans="1:19">
      <c r="A228" s="10">
        <v>2014</v>
      </c>
      <c r="B228" s="11" t="s">
        <v>483</v>
      </c>
      <c r="C228" s="11" t="s">
        <v>484</v>
      </c>
      <c r="D228" s="12">
        <v>1015042</v>
      </c>
      <c r="E228" s="12">
        <v>2</v>
      </c>
      <c r="F228" s="12"/>
      <c r="G228" s="12">
        <v>480</v>
      </c>
      <c r="H228" s="12">
        <v>9.1999999999999993</v>
      </c>
      <c r="I228" s="12" t="s">
        <v>381</v>
      </c>
      <c r="J228" s="12" t="s">
        <v>382</v>
      </c>
      <c r="K228" s="12" t="b">
        <v>0</v>
      </c>
      <c r="L228" s="12">
        <v>7</v>
      </c>
      <c r="M228" s="8">
        <v>2021</v>
      </c>
      <c r="N228" s="9">
        <v>1.34E-2</v>
      </c>
      <c r="O228" s="9">
        <v>7.4300000000000005E-2</v>
      </c>
      <c r="P228" s="9">
        <v>4.7300000000000002E-2</v>
      </c>
      <c r="Q228" s="9">
        <v>4.48E-2</v>
      </c>
      <c r="R228" s="13">
        <v>41815</v>
      </c>
      <c r="S228" s="13">
        <v>41815</v>
      </c>
    </row>
    <row r="229" spans="1:19">
      <c r="A229" s="10">
        <v>2014</v>
      </c>
      <c r="B229" s="11" t="s">
        <v>483</v>
      </c>
      <c r="C229" s="11" t="s">
        <v>484</v>
      </c>
      <c r="D229" s="12">
        <v>1015042</v>
      </c>
      <c r="E229" s="12">
        <v>2</v>
      </c>
      <c r="F229" s="12"/>
      <c r="G229" s="12">
        <v>480</v>
      </c>
      <c r="H229" s="12">
        <v>9.1999999999999993</v>
      </c>
      <c r="I229" s="12" t="s">
        <v>381</v>
      </c>
      <c r="J229" s="12" t="s">
        <v>382</v>
      </c>
      <c r="K229" s="12" t="b">
        <v>0</v>
      </c>
      <c r="L229" s="12">
        <v>6</v>
      </c>
      <c r="M229" s="8">
        <v>2020</v>
      </c>
      <c r="N229" s="9">
        <v>1.34E-2</v>
      </c>
      <c r="O229" s="9">
        <v>7.4300000000000005E-2</v>
      </c>
      <c r="P229" s="9">
        <v>4.7300000000000002E-2</v>
      </c>
      <c r="Q229" s="9">
        <v>4.48E-2</v>
      </c>
      <c r="R229" s="13">
        <v>41815</v>
      </c>
      <c r="S229" s="13">
        <v>41815</v>
      </c>
    </row>
    <row r="230" spans="1:19">
      <c r="A230" s="10">
        <v>2014</v>
      </c>
      <c r="B230" s="11" t="s">
        <v>483</v>
      </c>
      <c r="C230" s="11" t="s">
        <v>484</v>
      </c>
      <c r="D230" s="12">
        <v>1015042</v>
      </c>
      <c r="E230" s="12">
        <v>2</v>
      </c>
      <c r="F230" s="12"/>
      <c r="G230" s="12">
        <v>480</v>
      </c>
      <c r="H230" s="12">
        <v>9.1999999999999993</v>
      </c>
      <c r="I230" s="12" t="s">
        <v>381</v>
      </c>
      <c r="J230" s="12" t="s">
        <v>382</v>
      </c>
      <c r="K230" s="12" t="b">
        <v>0</v>
      </c>
      <c r="L230" s="12">
        <v>8</v>
      </c>
      <c r="M230" s="8">
        <v>2022</v>
      </c>
      <c r="N230" s="9">
        <v>1.34E-2</v>
      </c>
      <c r="O230" s="9">
        <v>7.4300000000000005E-2</v>
      </c>
      <c r="P230" s="9">
        <v>4.7300000000000002E-2</v>
      </c>
      <c r="Q230" s="9">
        <v>4.48E-2</v>
      </c>
      <c r="R230" s="13">
        <v>41815</v>
      </c>
      <c r="S230" s="13">
        <v>41815</v>
      </c>
    </row>
    <row r="231" spans="1:19">
      <c r="A231" s="10">
        <v>2014</v>
      </c>
      <c r="B231" s="11" t="s">
        <v>483</v>
      </c>
      <c r="C231" s="11" t="s">
        <v>484</v>
      </c>
      <c r="D231" s="12">
        <v>1015042</v>
      </c>
      <c r="E231" s="12">
        <v>2</v>
      </c>
      <c r="F231" s="12"/>
      <c r="G231" s="12">
        <v>480</v>
      </c>
      <c r="H231" s="12">
        <v>9.1999999999999993</v>
      </c>
      <c r="I231" s="12" t="s">
        <v>381</v>
      </c>
      <c r="J231" s="12" t="s">
        <v>382</v>
      </c>
      <c r="K231" s="12" t="b">
        <v>0</v>
      </c>
      <c r="L231" s="12">
        <v>0</v>
      </c>
      <c r="M231" s="8">
        <v>2014</v>
      </c>
      <c r="N231" s="9">
        <v>1.34E-2</v>
      </c>
      <c r="O231" s="9">
        <v>7.4300000000000005E-2</v>
      </c>
      <c r="P231" s="9">
        <v>4.7300000000000002E-2</v>
      </c>
      <c r="Q231" s="9">
        <v>4.48E-2</v>
      </c>
      <c r="R231" s="13">
        <v>41815</v>
      </c>
      <c r="S231" s="13">
        <v>41815</v>
      </c>
    </row>
    <row r="232" spans="1:19">
      <c r="A232" s="10">
        <v>2014</v>
      </c>
      <c r="B232" s="11" t="s">
        <v>483</v>
      </c>
      <c r="C232" s="11" t="s">
        <v>484</v>
      </c>
      <c r="D232" s="12">
        <v>1015042</v>
      </c>
      <c r="E232" s="12">
        <v>2</v>
      </c>
      <c r="F232" s="12"/>
      <c r="G232" s="12">
        <v>480</v>
      </c>
      <c r="H232" s="12">
        <v>9.1999999999999993</v>
      </c>
      <c r="I232" s="12" t="s">
        <v>381</v>
      </c>
      <c r="J232" s="12" t="s">
        <v>382</v>
      </c>
      <c r="K232" s="12" t="b">
        <v>0</v>
      </c>
      <c r="L232" s="12">
        <v>5</v>
      </c>
      <c r="M232" s="8">
        <v>2019</v>
      </c>
      <c r="N232" s="9">
        <v>1.34E-2</v>
      </c>
      <c r="O232" s="9">
        <v>7.4300000000000005E-2</v>
      </c>
      <c r="P232" s="9">
        <v>4.7300000000000002E-2</v>
      </c>
      <c r="Q232" s="9">
        <v>4.48E-2</v>
      </c>
      <c r="R232" s="13">
        <v>41815</v>
      </c>
      <c r="S232" s="13">
        <v>41815</v>
      </c>
    </row>
    <row r="233" spans="1:19">
      <c r="A233" s="10">
        <v>2014</v>
      </c>
      <c r="B233" s="11" t="s">
        <v>483</v>
      </c>
      <c r="C233" s="11" t="s">
        <v>484</v>
      </c>
      <c r="D233" s="12">
        <v>1015042</v>
      </c>
      <c r="E233" s="12">
        <v>2</v>
      </c>
      <c r="F233" s="12"/>
      <c r="G233" s="12">
        <v>336</v>
      </c>
      <c r="H233" s="12" t="s">
        <v>374</v>
      </c>
      <c r="I233" s="12"/>
      <c r="J233" s="12" t="s">
        <v>375</v>
      </c>
      <c r="K233" s="12" t="b">
        <v>1</v>
      </c>
      <c r="L233" s="12">
        <v>6</v>
      </c>
      <c r="M233" s="8">
        <v>2020</v>
      </c>
      <c r="N233" s="9">
        <v>0</v>
      </c>
      <c r="O233" s="9">
        <v>0</v>
      </c>
      <c r="P233" s="9">
        <v>0</v>
      </c>
      <c r="Q233" s="9">
        <v>0</v>
      </c>
      <c r="R233" s="13">
        <v>41815</v>
      </c>
      <c r="S233" s="13">
        <v>41815</v>
      </c>
    </row>
    <row r="234" spans="1:19">
      <c r="A234" s="10">
        <v>2014</v>
      </c>
      <c r="B234" s="11" t="s">
        <v>483</v>
      </c>
      <c r="C234" s="11" t="s">
        <v>484</v>
      </c>
      <c r="D234" s="12">
        <v>1015042</v>
      </c>
      <c r="E234" s="12">
        <v>2</v>
      </c>
      <c r="F234" s="12"/>
      <c r="G234" s="12">
        <v>480</v>
      </c>
      <c r="H234" s="12">
        <v>9.1999999999999993</v>
      </c>
      <c r="I234" s="12" t="s">
        <v>381</v>
      </c>
      <c r="J234" s="12" t="s">
        <v>382</v>
      </c>
      <c r="K234" s="12" t="b">
        <v>0</v>
      </c>
      <c r="L234" s="12">
        <v>2</v>
      </c>
      <c r="M234" s="8">
        <v>2016</v>
      </c>
      <c r="N234" s="9">
        <v>1.34E-2</v>
      </c>
      <c r="O234" s="9">
        <v>7.4300000000000005E-2</v>
      </c>
      <c r="P234" s="9">
        <v>4.7300000000000002E-2</v>
      </c>
      <c r="Q234" s="9">
        <v>4.48E-2</v>
      </c>
      <c r="R234" s="13">
        <v>41815</v>
      </c>
      <c r="S234" s="13">
        <v>41815</v>
      </c>
    </row>
    <row r="235" spans="1:19">
      <c r="A235" s="10">
        <v>2014</v>
      </c>
      <c r="B235" s="11" t="s">
        <v>483</v>
      </c>
      <c r="C235" s="11" t="s">
        <v>484</v>
      </c>
      <c r="D235" s="12">
        <v>1015042</v>
      </c>
      <c r="E235" s="12">
        <v>2</v>
      </c>
      <c r="F235" s="12"/>
      <c r="G235" s="12">
        <v>480</v>
      </c>
      <c r="H235" s="12">
        <v>9.1999999999999993</v>
      </c>
      <c r="I235" s="12" t="s">
        <v>381</v>
      </c>
      <c r="J235" s="12" t="s">
        <v>382</v>
      </c>
      <c r="K235" s="12" t="b">
        <v>0</v>
      </c>
      <c r="L235" s="12">
        <v>3</v>
      </c>
      <c r="M235" s="8">
        <v>2017</v>
      </c>
      <c r="N235" s="9">
        <v>1.34E-2</v>
      </c>
      <c r="O235" s="9">
        <v>7.4300000000000005E-2</v>
      </c>
      <c r="P235" s="9">
        <v>4.7300000000000002E-2</v>
      </c>
      <c r="Q235" s="9">
        <v>4.48E-2</v>
      </c>
      <c r="R235" s="13">
        <v>41815</v>
      </c>
      <c r="S235" s="13">
        <v>41815</v>
      </c>
    </row>
    <row r="236" spans="1:19">
      <c r="A236" s="10">
        <v>2014</v>
      </c>
      <c r="B236" s="11" t="s">
        <v>483</v>
      </c>
      <c r="C236" s="11" t="s">
        <v>484</v>
      </c>
      <c r="D236" s="12">
        <v>1015042</v>
      </c>
      <c r="E236" s="12">
        <v>2</v>
      </c>
      <c r="F236" s="12"/>
      <c r="G236" s="12">
        <v>480</v>
      </c>
      <c r="H236" s="12">
        <v>9.1999999999999993</v>
      </c>
      <c r="I236" s="12" t="s">
        <v>381</v>
      </c>
      <c r="J236" s="12" t="s">
        <v>382</v>
      </c>
      <c r="K236" s="12" t="b">
        <v>0</v>
      </c>
      <c r="L236" s="12">
        <v>4</v>
      </c>
      <c r="M236" s="8">
        <v>2018</v>
      </c>
      <c r="N236" s="9">
        <v>1.34E-2</v>
      </c>
      <c r="O236" s="9">
        <v>7.4300000000000005E-2</v>
      </c>
      <c r="P236" s="9">
        <v>4.7300000000000002E-2</v>
      </c>
      <c r="Q236" s="9">
        <v>4.48E-2</v>
      </c>
      <c r="R236" s="13">
        <v>41815</v>
      </c>
      <c r="S236" s="13">
        <v>41815</v>
      </c>
    </row>
    <row r="237" spans="1:19">
      <c r="A237" s="10">
        <v>2014</v>
      </c>
      <c r="B237" s="11" t="s">
        <v>483</v>
      </c>
      <c r="C237" s="11" t="s">
        <v>484</v>
      </c>
      <c r="D237" s="12">
        <v>1015042</v>
      </c>
      <c r="E237" s="12">
        <v>2</v>
      </c>
      <c r="F237" s="12"/>
      <c r="G237" s="12">
        <v>100</v>
      </c>
      <c r="H237" s="12" t="s">
        <v>54</v>
      </c>
      <c r="I237" s="12"/>
      <c r="J237" s="12" t="s">
        <v>55</v>
      </c>
      <c r="K237" s="12" t="b">
        <v>1</v>
      </c>
      <c r="L237" s="12">
        <v>1</v>
      </c>
      <c r="M237" s="8">
        <v>2015</v>
      </c>
      <c r="N237" s="9">
        <v>157835</v>
      </c>
      <c r="O237" s="9">
        <v>15320.88</v>
      </c>
      <c r="P237" s="9">
        <v>494200</v>
      </c>
      <c r="Q237" s="9">
        <v>421241</v>
      </c>
      <c r="R237" s="13">
        <v>41815</v>
      </c>
      <c r="S237" s="13">
        <v>41815</v>
      </c>
    </row>
    <row r="238" spans="1:19">
      <c r="A238" s="10">
        <v>2014</v>
      </c>
      <c r="B238" s="11" t="s">
        <v>483</v>
      </c>
      <c r="C238" s="11" t="s">
        <v>484</v>
      </c>
      <c r="D238" s="12">
        <v>1015042</v>
      </c>
      <c r="E238" s="12">
        <v>2</v>
      </c>
      <c r="F238" s="12"/>
      <c r="G238" s="12">
        <v>100</v>
      </c>
      <c r="H238" s="12" t="s">
        <v>54</v>
      </c>
      <c r="I238" s="12"/>
      <c r="J238" s="12" t="s">
        <v>55</v>
      </c>
      <c r="K238" s="12" t="b">
        <v>1</v>
      </c>
      <c r="L238" s="12">
        <v>5</v>
      </c>
      <c r="M238" s="8">
        <v>2019</v>
      </c>
      <c r="N238" s="9">
        <v>157835</v>
      </c>
      <c r="O238" s="9">
        <v>15320.88</v>
      </c>
      <c r="P238" s="9">
        <v>494200</v>
      </c>
      <c r="Q238" s="9">
        <v>421241</v>
      </c>
      <c r="R238" s="13">
        <v>41815</v>
      </c>
      <c r="S238" s="13">
        <v>41815</v>
      </c>
    </row>
    <row r="239" spans="1:19">
      <c r="A239" s="10">
        <v>2014</v>
      </c>
      <c r="B239" s="11" t="s">
        <v>483</v>
      </c>
      <c r="C239" s="11" t="s">
        <v>484</v>
      </c>
      <c r="D239" s="12">
        <v>1015042</v>
      </c>
      <c r="E239" s="12">
        <v>2</v>
      </c>
      <c r="F239" s="12"/>
      <c r="G239" s="12">
        <v>100</v>
      </c>
      <c r="H239" s="12" t="s">
        <v>54</v>
      </c>
      <c r="I239" s="12"/>
      <c r="J239" s="12" t="s">
        <v>55</v>
      </c>
      <c r="K239" s="12" t="b">
        <v>1</v>
      </c>
      <c r="L239" s="12">
        <v>8</v>
      </c>
      <c r="M239" s="8">
        <v>2022</v>
      </c>
      <c r="N239" s="9">
        <v>157835</v>
      </c>
      <c r="O239" s="9">
        <v>15320.88</v>
      </c>
      <c r="P239" s="9">
        <v>494200</v>
      </c>
      <c r="Q239" s="9">
        <v>421241</v>
      </c>
      <c r="R239" s="13">
        <v>41815</v>
      </c>
      <c r="S239" s="13">
        <v>41815</v>
      </c>
    </row>
    <row r="240" spans="1:19">
      <c r="A240" s="10">
        <v>2014</v>
      </c>
      <c r="B240" s="11" t="s">
        <v>483</v>
      </c>
      <c r="C240" s="11" t="s">
        <v>484</v>
      </c>
      <c r="D240" s="12">
        <v>1015042</v>
      </c>
      <c r="E240" s="12">
        <v>2</v>
      </c>
      <c r="F240" s="12"/>
      <c r="G240" s="12">
        <v>100</v>
      </c>
      <c r="H240" s="12" t="s">
        <v>54</v>
      </c>
      <c r="I240" s="12"/>
      <c r="J240" s="12" t="s">
        <v>55</v>
      </c>
      <c r="K240" s="12" t="b">
        <v>1</v>
      </c>
      <c r="L240" s="12">
        <v>4</v>
      </c>
      <c r="M240" s="8">
        <v>2018</v>
      </c>
      <c r="N240" s="9">
        <v>157835</v>
      </c>
      <c r="O240" s="9">
        <v>15320.88</v>
      </c>
      <c r="P240" s="9">
        <v>494200</v>
      </c>
      <c r="Q240" s="9">
        <v>421241</v>
      </c>
      <c r="R240" s="13">
        <v>41815</v>
      </c>
      <c r="S240" s="13">
        <v>41815</v>
      </c>
    </row>
    <row r="241" spans="1:19">
      <c r="A241" s="10">
        <v>2014</v>
      </c>
      <c r="B241" s="11" t="s">
        <v>483</v>
      </c>
      <c r="C241" s="11" t="s">
        <v>484</v>
      </c>
      <c r="D241" s="12">
        <v>1015042</v>
      </c>
      <c r="E241" s="12">
        <v>2</v>
      </c>
      <c r="F241" s="12"/>
      <c r="G241" s="12">
        <v>100</v>
      </c>
      <c r="H241" s="12" t="s">
        <v>54</v>
      </c>
      <c r="I241" s="12"/>
      <c r="J241" s="12" t="s">
        <v>55</v>
      </c>
      <c r="K241" s="12" t="b">
        <v>1</v>
      </c>
      <c r="L241" s="12">
        <v>3</v>
      </c>
      <c r="M241" s="8">
        <v>2017</v>
      </c>
      <c r="N241" s="9">
        <v>157835</v>
      </c>
      <c r="O241" s="9">
        <v>15320.88</v>
      </c>
      <c r="P241" s="9">
        <v>494200</v>
      </c>
      <c r="Q241" s="9">
        <v>421241</v>
      </c>
      <c r="R241" s="13">
        <v>41815</v>
      </c>
      <c r="S241" s="13">
        <v>41815</v>
      </c>
    </row>
    <row r="242" spans="1:19">
      <c r="A242" s="10">
        <v>2014</v>
      </c>
      <c r="B242" s="11" t="s">
        <v>483</v>
      </c>
      <c r="C242" s="11" t="s">
        <v>484</v>
      </c>
      <c r="D242" s="12">
        <v>1015042</v>
      </c>
      <c r="E242" s="12">
        <v>2</v>
      </c>
      <c r="F242" s="12"/>
      <c r="G242" s="12">
        <v>100</v>
      </c>
      <c r="H242" s="12" t="s">
        <v>54</v>
      </c>
      <c r="I242" s="12"/>
      <c r="J242" s="12" t="s">
        <v>55</v>
      </c>
      <c r="K242" s="12" t="b">
        <v>1</v>
      </c>
      <c r="L242" s="12">
        <v>0</v>
      </c>
      <c r="M242" s="8">
        <v>2014</v>
      </c>
      <c r="N242" s="9">
        <v>157835</v>
      </c>
      <c r="O242" s="9">
        <v>15320.88</v>
      </c>
      <c r="P242" s="9">
        <v>494200</v>
      </c>
      <c r="Q242" s="9">
        <v>421241</v>
      </c>
      <c r="R242" s="13">
        <v>41815</v>
      </c>
      <c r="S242" s="13">
        <v>41815</v>
      </c>
    </row>
    <row r="243" spans="1:19">
      <c r="A243" s="10">
        <v>2014</v>
      </c>
      <c r="B243" s="11" t="s">
        <v>483</v>
      </c>
      <c r="C243" s="11" t="s">
        <v>484</v>
      </c>
      <c r="D243" s="12">
        <v>1015042</v>
      </c>
      <c r="E243" s="12">
        <v>2</v>
      </c>
      <c r="F243" s="12"/>
      <c r="G243" s="12">
        <v>100</v>
      </c>
      <c r="H243" s="12" t="s">
        <v>54</v>
      </c>
      <c r="I243" s="12"/>
      <c r="J243" s="12" t="s">
        <v>55</v>
      </c>
      <c r="K243" s="12" t="b">
        <v>1</v>
      </c>
      <c r="L243" s="12">
        <v>7</v>
      </c>
      <c r="M243" s="8">
        <v>2021</v>
      </c>
      <c r="N243" s="9">
        <v>157835</v>
      </c>
      <c r="O243" s="9">
        <v>15320.88</v>
      </c>
      <c r="P243" s="9">
        <v>494200</v>
      </c>
      <c r="Q243" s="9">
        <v>421241</v>
      </c>
      <c r="R243" s="13">
        <v>41815</v>
      </c>
      <c r="S243" s="13">
        <v>41815</v>
      </c>
    </row>
    <row r="244" spans="1:19">
      <c r="A244" s="10">
        <v>2014</v>
      </c>
      <c r="B244" s="11" t="s">
        <v>483</v>
      </c>
      <c r="C244" s="11" t="s">
        <v>484</v>
      </c>
      <c r="D244" s="12">
        <v>1015042</v>
      </c>
      <c r="E244" s="12">
        <v>2</v>
      </c>
      <c r="F244" s="12"/>
      <c r="G244" s="12">
        <v>100</v>
      </c>
      <c r="H244" s="12" t="s">
        <v>54</v>
      </c>
      <c r="I244" s="12"/>
      <c r="J244" s="12" t="s">
        <v>55</v>
      </c>
      <c r="K244" s="12" t="b">
        <v>1</v>
      </c>
      <c r="L244" s="12">
        <v>6</v>
      </c>
      <c r="M244" s="8">
        <v>2020</v>
      </c>
      <c r="N244" s="9">
        <v>157835</v>
      </c>
      <c r="O244" s="9">
        <v>15320.88</v>
      </c>
      <c r="P244" s="9">
        <v>494200</v>
      </c>
      <c r="Q244" s="9">
        <v>421241</v>
      </c>
      <c r="R244" s="13">
        <v>41815</v>
      </c>
      <c r="S244" s="13">
        <v>41815</v>
      </c>
    </row>
    <row r="245" spans="1:19">
      <c r="A245" s="10">
        <v>2014</v>
      </c>
      <c r="B245" s="11" t="s">
        <v>483</v>
      </c>
      <c r="C245" s="11" t="s">
        <v>484</v>
      </c>
      <c r="D245" s="12">
        <v>1015042</v>
      </c>
      <c r="E245" s="12">
        <v>2</v>
      </c>
      <c r="F245" s="12"/>
      <c r="G245" s="12">
        <v>100</v>
      </c>
      <c r="H245" s="12" t="s">
        <v>54</v>
      </c>
      <c r="I245" s="12"/>
      <c r="J245" s="12" t="s">
        <v>55</v>
      </c>
      <c r="K245" s="12" t="b">
        <v>1</v>
      </c>
      <c r="L245" s="12">
        <v>2</v>
      </c>
      <c r="M245" s="8">
        <v>2016</v>
      </c>
      <c r="N245" s="9">
        <v>157835</v>
      </c>
      <c r="O245" s="9">
        <v>15320.88</v>
      </c>
      <c r="P245" s="9">
        <v>494200</v>
      </c>
      <c r="Q245" s="9">
        <v>421241</v>
      </c>
      <c r="R245" s="13">
        <v>41815</v>
      </c>
      <c r="S245" s="13">
        <v>41815</v>
      </c>
    </row>
    <row r="246" spans="1:19">
      <c r="A246" s="10">
        <v>2014</v>
      </c>
      <c r="B246" s="11" t="s">
        <v>483</v>
      </c>
      <c r="C246" s="11" t="s">
        <v>484</v>
      </c>
      <c r="D246" s="12">
        <v>1015042</v>
      </c>
      <c r="E246" s="12">
        <v>2</v>
      </c>
      <c r="F246" s="12"/>
      <c r="G246" s="12">
        <v>770</v>
      </c>
      <c r="H246" s="12" t="s">
        <v>409</v>
      </c>
      <c r="I246" s="12"/>
      <c r="J246" s="12" t="s">
        <v>400</v>
      </c>
      <c r="K246" s="12" t="b">
        <v>1</v>
      </c>
      <c r="L246" s="12">
        <v>1</v>
      </c>
      <c r="M246" s="8">
        <v>2015</v>
      </c>
      <c r="N246" s="9">
        <v>0</v>
      </c>
      <c r="O246" s="9">
        <v>0</v>
      </c>
      <c r="P246" s="9">
        <v>0</v>
      </c>
      <c r="Q246" s="9">
        <v>0</v>
      </c>
      <c r="R246" s="13">
        <v>41815</v>
      </c>
      <c r="S246" s="13">
        <v>41815</v>
      </c>
    </row>
    <row r="247" spans="1:19">
      <c r="A247" s="10">
        <v>2014</v>
      </c>
      <c r="B247" s="11" t="s">
        <v>483</v>
      </c>
      <c r="C247" s="11" t="s">
        <v>484</v>
      </c>
      <c r="D247" s="12">
        <v>1015042</v>
      </c>
      <c r="E247" s="12">
        <v>2</v>
      </c>
      <c r="F247" s="12"/>
      <c r="G247" s="12">
        <v>770</v>
      </c>
      <c r="H247" s="12" t="s">
        <v>409</v>
      </c>
      <c r="I247" s="12"/>
      <c r="J247" s="12" t="s">
        <v>400</v>
      </c>
      <c r="K247" s="12" t="b">
        <v>1</v>
      </c>
      <c r="L247" s="12">
        <v>3</v>
      </c>
      <c r="M247" s="8">
        <v>2017</v>
      </c>
      <c r="N247" s="9">
        <v>0</v>
      </c>
      <c r="O247" s="9">
        <v>0</v>
      </c>
      <c r="P247" s="9">
        <v>0</v>
      </c>
      <c r="Q247" s="9">
        <v>0</v>
      </c>
      <c r="R247" s="13">
        <v>41815</v>
      </c>
      <c r="S247" s="13">
        <v>41815</v>
      </c>
    </row>
    <row r="248" spans="1:19">
      <c r="A248" s="10">
        <v>2014</v>
      </c>
      <c r="B248" s="11" t="s">
        <v>483</v>
      </c>
      <c r="C248" s="11" t="s">
        <v>484</v>
      </c>
      <c r="D248" s="12">
        <v>1015042</v>
      </c>
      <c r="E248" s="12">
        <v>2</v>
      </c>
      <c r="F248" s="12"/>
      <c r="G248" s="12">
        <v>770</v>
      </c>
      <c r="H248" s="12" t="s">
        <v>409</v>
      </c>
      <c r="I248" s="12"/>
      <c r="J248" s="12" t="s">
        <v>400</v>
      </c>
      <c r="K248" s="12" t="b">
        <v>1</v>
      </c>
      <c r="L248" s="12">
        <v>6</v>
      </c>
      <c r="M248" s="8">
        <v>2020</v>
      </c>
      <c r="N248" s="9">
        <v>0</v>
      </c>
      <c r="O248" s="9">
        <v>0</v>
      </c>
      <c r="P248" s="9">
        <v>0</v>
      </c>
      <c r="Q248" s="9">
        <v>0</v>
      </c>
      <c r="R248" s="13">
        <v>41815</v>
      </c>
      <c r="S248" s="13">
        <v>41815</v>
      </c>
    </row>
    <row r="249" spans="1:19">
      <c r="A249" s="10">
        <v>2014</v>
      </c>
      <c r="B249" s="11" t="s">
        <v>483</v>
      </c>
      <c r="C249" s="11" t="s">
        <v>484</v>
      </c>
      <c r="D249" s="12">
        <v>1015042</v>
      </c>
      <c r="E249" s="12">
        <v>2</v>
      </c>
      <c r="F249" s="12"/>
      <c r="G249" s="12">
        <v>770</v>
      </c>
      <c r="H249" s="12" t="s">
        <v>409</v>
      </c>
      <c r="I249" s="12"/>
      <c r="J249" s="12" t="s">
        <v>400</v>
      </c>
      <c r="K249" s="12" t="b">
        <v>1</v>
      </c>
      <c r="L249" s="12">
        <v>8</v>
      </c>
      <c r="M249" s="8">
        <v>2022</v>
      </c>
      <c r="N249" s="9">
        <v>0</v>
      </c>
      <c r="O249" s="9">
        <v>0</v>
      </c>
      <c r="P249" s="9">
        <v>0</v>
      </c>
      <c r="Q249" s="9">
        <v>0</v>
      </c>
      <c r="R249" s="13">
        <v>41815</v>
      </c>
      <c r="S249" s="13">
        <v>41815</v>
      </c>
    </row>
    <row r="250" spans="1:19">
      <c r="A250" s="10">
        <v>2014</v>
      </c>
      <c r="B250" s="11" t="s">
        <v>483</v>
      </c>
      <c r="C250" s="11" t="s">
        <v>484</v>
      </c>
      <c r="D250" s="12">
        <v>1015042</v>
      </c>
      <c r="E250" s="12">
        <v>2</v>
      </c>
      <c r="F250" s="12"/>
      <c r="G250" s="12">
        <v>770</v>
      </c>
      <c r="H250" s="12" t="s">
        <v>409</v>
      </c>
      <c r="I250" s="12"/>
      <c r="J250" s="12" t="s">
        <v>400</v>
      </c>
      <c r="K250" s="12" t="b">
        <v>1</v>
      </c>
      <c r="L250" s="12">
        <v>4</v>
      </c>
      <c r="M250" s="8">
        <v>2018</v>
      </c>
      <c r="N250" s="9">
        <v>0</v>
      </c>
      <c r="O250" s="9">
        <v>0</v>
      </c>
      <c r="P250" s="9">
        <v>0</v>
      </c>
      <c r="Q250" s="9">
        <v>0</v>
      </c>
      <c r="R250" s="13">
        <v>41815</v>
      </c>
      <c r="S250" s="13">
        <v>41815</v>
      </c>
    </row>
    <row r="251" spans="1:19">
      <c r="A251" s="10">
        <v>2014</v>
      </c>
      <c r="B251" s="11" t="s">
        <v>483</v>
      </c>
      <c r="C251" s="11" t="s">
        <v>484</v>
      </c>
      <c r="D251" s="12">
        <v>1015042</v>
      </c>
      <c r="E251" s="12">
        <v>2</v>
      </c>
      <c r="F251" s="12"/>
      <c r="G251" s="12">
        <v>770</v>
      </c>
      <c r="H251" s="12" t="s">
        <v>409</v>
      </c>
      <c r="I251" s="12"/>
      <c r="J251" s="12" t="s">
        <v>400</v>
      </c>
      <c r="K251" s="12" t="b">
        <v>1</v>
      </c>
      <c r="L251" s="12">
        <v>5</v>
      </c>
      <c r="M251" s="8">
        <v>2019</v>
      </c>
      <c r="N251" s="9">
        <v>0</v>
      </c>
      <c r="O251" s="9">
        <v>0</v>
      </c>
      <c r="P251" s="9">
        <v>0</v>
      </c>
      <c r="Q251" s="9">
        <v>0</v>
      </c>
      <c r="R251" s="13">
        <v>41815</v>
      </c>
      <c r="S251" s="13">
        <v>41815</v>
      </c>
    </row>
    <row r="252" spans="1:19">
      <c r="A252" s="10">
        <v>2014</v>
      </c>
      <c r="B252" s="11" t="s">
        <v>483</v>
      </c>
      <c r="C252" s="11" t="s">
        <v>484</v>
      </c>
      <c r="D252" s="12">
        <v>1015042</v>
      </c>
      <c r="E252" s="12">
        <v>2</v>
      </c>
      <c r="F252" s="12"/>
      <c r="G252" s="12">
        <v>770</v>
      </c>
      <c r="H252" s="12" t="s">
        <v>409</v>
      </c>
      <c r="I252" s="12"/>
      <c r="J252" s="12" t="s">
        <v>400</v>
      </c>
      <c r="K252" s="12" t="b">
        <v>1</v>
      </c>
      <c r="L252" s="12">
        <v>2</v>
      </c>
      <c r="M252" s="8">
        <v>2016</v>
      </c>
      <c r="N252" s="9">
        <v>0</v>
      </c>
      <c r="O252" s="9">
        <v>0</v>
      </c>
      <c r="P252" s="9">
        <v>0</v>
      </c>
      <c r="Q252" s="9">
        <v>0</v>
      </c>
      <c r="R252" s="13">
        <v>41815</v>
      </c>
      <c r="S252" s="13">
        <v>41815</v>
      </c>
    </row>
    <row r="253" spans="1:19">
      <c r="A253" s="10">
        <v>2014</v>
      </c>
      <c r="B253" s="11" t="s">
        <v>483</v>
      </c>
      <c r="C253" s="11" t="s">
        <v>484</v>
      </c>
      <c r="D253" s="12">
        <v>1015042</v>
      </c>
      <c r="E253" s="12">
        <v>2</v>
      </c>
      <c r="F253" s="12"/>
      <c r="G253" s="12">
        <v>770</v>
      </c>
      <c r="H253" s="12" t="s">
        <v>409</v>
      </c>
      <c r="I253" s="12"/>
      <c r="J253" s="12" t="s">
        <v>400</v>
      </c>
      <c r="K253" s="12" t="b">
        <v>1</v>
      </c>
      <c r="L253" s="12">
        <v>7</v>
      </c>
      <c r="M253" s="8">
        <v>2021</v>
      </c>
      <c r="N253" s="9">
        <v>0</v>
      </c>
      <c r="O253" s="9">
        <v>0</v>
      </c>
      <c r="P253" s="9">
        <v>0</v>
      </c>
      <c r="Q253" s="9">
        <v>0</v>
      </c>
      <c r="R253" s="13">
        <v>41815</v>
      </c>
      <c r="S253" s="13">
        <v>41815</v>
      </c>
    </row>
    <row r="254" spans="1:19">
      <c r="A254" s="10">
        <v>2014</v>
      </c>
      <c r="B254" s="11" t="s">
        <v>483</v>
      </c>
      <c r="C254" s="11" t="s">
        <v>484</v>
      </c>
      <c r="D254" s="12">
        <v>1015042</v>
      </c>
      <c r="E254" s="12">
        <v>2</v>
      </c>
      <c r="F254" s="12"/>
      <c r="G254" s="12">
        <v>770</v>
      </c>
      <c r="H254" s="12" t="s">
        <v>409</v>
      </c>
      <c r="I254" s="12"/>
      <c r="J254" s="12" t="s">
        <v>400</v>
      </c>
      <c r="K254" s="12" t="b">
        <v>1</v>
      </c>
      <c r="L254" s="12">
        <v>0</v>
      </c>
      <c r="M254" s="8">
        <v>2014</v>
      </c>
      <c r="N254" s="9">
        <v>0</v>
      </c>
      <c r="O254" s="9">
        <v>0</v>
      </c>
      <c r="P254" s="9">
        <v>0</v>
      </c>
      <c r="Q254" s="9">
        <v>0</v>
      </c>
      <c r="R254" s="13">
        <v>41815</v>
      </c>
      <c r="S254" s="13">
        <v>41815</v>
      </c>
    </row>
    <row r="255" spans="1:19">
      <c r="A255" s="10">
        <v>2014</v>
      </c>
      <c r="B255" s="11" t="s">
        <v>483</v>
      </c>
      <c r="C255" s="11" t="s">
        <v>484</v>
      </c>
      <c r="D255" s="12">
        <v>1015042</v>
      </c>
      <c r="E255" s="12">
        <v>2</v>
      </c>
      <c r="F255" s="12"/>
      <c r="G255" s="12">
        <v>336</v>
      </c>
      <c r="H255" s="12" t="s">
        <v>374</v>
      </c>
      <c r="I255" s="12"/>
      <c r="J255" s="12" t="s">
        <v>375</v>
      </c>
      <c r="K255" s="12" t="b">
        <v>1</v>
      </c>
      <c r="L255" s="12">
        <v>0</v>
      </c>
      <c r="M255" s="8">
        <v>2014</v>
      </c>
      <c r="N255" s="9">
        <v>0</v>
      </c>
      <c r="O255" s="9">
        <v>0</v>
      </c>
      <c r="P255" s="9">
        <v>0</v>
      </c>
      <c r="Q255" s="9">
        <v>0</v>
      </c>
      <c r="R255" s="13">
        <v>41815</v>
      </c>
      <c r="S255" s="13">
        <v>41815</v>
      </c>
    </row>
    <row r="256" spans="1:19">
      <c r="A256" s="10">
        <v>2014</v>
      </c>
      <c r="B256" s="11" t="s">
        <v>483</v>
      </c>
      <c r="C256" s="11" t="s">
        <v>484</v>
      </c>
      <c r="D256" s="12">
        <v>1015042</v>
      </c>
      <c r="E256" s="12">
        <v>2</v>
      </c>
      <c r="F256" s="12"/>
      <c r="G256" s="12">
        <v>336</v>
      </c>
      <c r="H256" s="12" t="s">
        <v>374</v>
      </c>
      <c r="I256" s="12"/>
      <c r="J256" s="12" t="s">
        <v>375</v>
      </c>
      <c r="K256" s="12" t="b">
        <v>1</v>
      </c>
      <c r="L256" s="12">
        <v>7</v>
      </c>
      <c r="M256" s="8">
        <v>2021</v>
      </c>
      <c r="N256" s="9">
        <v>0</v>
      </c>
      <c r="O256" s="9">
        <v>0</v>
      </c>
      <c r="P256" s="9">
        <v>0</v>
      </c>
      <c r="Q256" s="9">
        <v>0</v>
      </c>
      <c r="R256" s="13">
        <v>41815</v>
      </c>
      <c r="S256" s="13">
        <v>41815</v>
      </c>
    </row>
    <row r="257" spans="1:19">
      <c r="A257" s="10">
        <v>2014</v>
      </c>
      <c r="B257" s="11" t="s">
        <v>483</v>
      </c>
      <c r="C257" s="11" t="s">
        <v>484</v>
      </c>
      <c r="D257" s="12">
        <v>1015042</v>
      </c>
      <c r="E257" s="12">
        <v>2</v>
      </c>
      <c r="F257" s="12"/>
      <c r="G257" s="12">
        <v>336</v>
      </c>
      <c r="H257" s="12" t="s">
        <v>374</v>
      </c>
      <c r="I257" s="12"/>
      <c r="J257" s="12" t="s">
        <v>375</v>
      </c>
      <c r="K257" s="12" t="b">
        <v>1</v>
      </c>
      <c r="L257" s="12">
        <v>8</v>
      </c>
      <c r="M257" s="8">
        <v>2022</v>
      </c>
      <c r="N257" s="9">
        <v>0</v>
      </c>
      <c r="O257" s="9">
        <v>0</v>
      </c>
      <c r="P257" s="9">
        <v>0</v>
      </c>
      <c r="Q257" s="9">
        <v>0</v>
      </c>
      <c r="R257" s="13">
        <v>41815</v>
      </c>
      <c r="S257" s="13">
        <v>41815</v>
      </c>
    </row>
    <row r="258" spans="1:19">
      <c r="A258" s="10">
        <v>2014</v>
      </c>
      <c r="B258" s="11" t="s">
        <v>483</v>
      </c>
      <c r="C258" s="11" t="s">
        <v>484</v>
      </c>
      <c r="D258" s="12">
        <v>1015042</v>
      </c>
      <c r="E258" s="12">
        <v>2</v>
      </c>
      <c r="F258" s="12"/>
      <c r="G258" s="12">
        <v>336</v>
      </c>
      <c r="H258" s="12" t="s">
        <v>374</v>
      </c>
      <c r="I258" s="12"/>
      <c r="J258" s="12" t="s">
        <v>375</v>
      </c>
      <c r="K258" s="12" t="b">
        <v>1</v>
      </c>
      <c r="L258" s="12">
        <v>5</v>
      </c>
      <c r="M258" s="8">
        <v>2019</v>
      </c>
      <c r="N258" s="9">
        <v>0</v>
      </c>
      <c r="O258" s="9">
        <v>0</v>
      </c>
      <c r="P258" s="9">
        <v>0</v>
      </c>
      <c r="Q258" s="9">
        <v>0</v>
      </c>
      <c r="R258" s="13">
        <v>41815</v>
      </c>
      <c r="S258" s="13">
        <v>41815</v>
      </c>
    </row>
    <row r="259" spans="1:19">
      <c r="A259" s="10">
        <v>2014</v>
      </c>
      <c r="B259" s="11" t="s">
        <v>483</v>
      </c>
      <c r="C259" s="11" t="s">
        <v>484</v>
      </c>
      <c r="D259" s="12">
        <v>1015042</v>
      </c>
      <c r="E259" s="12">
        <v>2</v>
      </c>
      <c r="F259" s="12"/>
      <c r="G259" s="12">
        <v>336</v>
      </c>
      <c r="H259" s="12" t="s">
        <v>374</v>
      </c>
      <c r="I259" s="12"/>
      <c r="J259" s="12" t="s">
        <v>375</v>
      </c>
      <c r="K259" s="12" t="b">
        <v>1</v>
      </c>
      <c r="L259" s="12">
        <v>1</v>
      </c>
      <c r="M259" s="8">
        <v>2015</v>
      </c>
      <c r="N259" s="9">
        <v>0</v>
      </c>
      <c r="O259" s="9">
        <v>0</v>
      </c>
      <c r="P259" s="9">
        <v>0</v>
      </c>
      <c r="Q259" s="9">
        <v>0</v>
      </c>
      <c r="R259" s="13">
        <v>41815</v>
      </c>
      <c r="S259" s="13">
        <v>41815</v>
      </c>
    </row>
    <row r="260" spans="1:19">
      <c r="A260" s="10">
        <v>2014</v>
      </c>
      <c r="B260" s="11" t="s">
        <v>483</v>
      </c>
      <c r="C260" s="11" t="s">
        <v>484</v>
      </c>
      <c r="D260" s="12">
        <v>1015042</v>
      </c>
      <c r="E260" s="12">
        <v>2</v>
      </c>
      <c r="F260" s="12"/>
      <c r="G260" s="12">
        <v>336</v>
      </c>
      <c r="H260" s="12" t="s">
        <v>374</v>
      </c>
      <c r="I260" s="12"/>
      <c r="J260" s="12" t="s">
        <v>375</v>
      </c>
      <c r="K260" s="12" t="b">
        <v>1</v>
      </c>
      <c r="L260" s="12">
        <v>4</v>
      </c>
      <c r="M260" s="8">
        <v>2018</v>
      </c>
      <c r="N260" s="9">
        <v>0</v>
      </c>
      <c r="O260" s="9">
        <v>0</v>
      </c>
      <c r="P260" s="9">
        <v>0</v>
      </c>
      <c r="Q260" s="9">
        <v>0</v>
      </c>
      <c r="R260" s="13">
        <v>41815</v>
      </c>
      <c r="S260" s="13">
        <v>41815</v>
      </c>
    </row>
    <row r="261" spans="1:19">
      <c r="A261" s="10">
        <v>2014</v>
      </c>
      <c r="B261" s="11" t="s">
        <v>483</v>
      </c>
      <c r="C261" s="11" t="s">
        <v>484</v>
      </c>
      <c r="D261" s="12">
        <v>1015042</v>
      </c>
      <c r="E261" s="12">
        <v>2</v>
      </c>
      <c r="F261" s="12"/>
      <c r="G261" s="12">
        <v>336</v>
      </c>
      <c r="H261" s="12" t="s">
        <v>374</v>
      </c>
      <c r="I261" s="12"/>
      <c r="J261" s="12" t="s">
        <v>375</v>
      </c>
      <c r="K261" s="12" t="b">
        <v>1</v>
      </c>
      <c r="L261" s="12">
        <v>2</v>
      </c>
      <c r="M261" s="8">
        <v>2016</v>
      </c>
      <c r="N261" s="9">
        <v>0</v>
      </c>
      <c r="O261" s="9">
        <v>0</v>
      </c>
      <c r="P261" s="9">
        <v>0</v>
      </c>
      <c r="Q261" s="9">
        <v>0</v>
      </c>
      <c r="R261" s="13">
        <v>41815</v>
      </c>
      <c r="S261" s="13">
        <v>41815</v>
      </c>
    </row>
    <row r="262" spans="1:19">
      <c r="A262" s="10">
        <v>2014</v>
      </c>
      <c r="B262" s="11" t="s">
        <v>483</v>
      </c>
      <c r="C262" s="11" t="s">
        <v>484</v>
      </c>
      <c r="D262" s="12">
        <v>1015042</v>
      </c>
      <c r="E262" s="12">
        <v>2</v>
      </c>
      <c r="F262" s="12"/>
      <c r="G262" s="12">
        <v>890</v>
      </c>
      <c r="H262" s="12">
        <v>14.2</v>
      </c>
      <c r="I262" s="12"/>
      <c r="J262" s="12" t="s">
        <v>128</v>
      </c>
      <c r="K262" s="12" t="b">
        <v>1</v>
      </c>
      <c r="L262" s="12">
        <v>6</v>
      </c>
      <c r="M262" s="8">
        <v>2020</v>
      </c>
      <c r="N262" s="9">
        <v>0</v>
      </c>
      <c r="O262" s="9">
        <v>0</v>
      </c>
      <c r="P262" s="9">
        <v>0</v>
      </c>
      <c r="Q262" s="9">
        <v>0</v>
      </c>
      <c r="R262" s="13">
        <v>41815</v>
      </c>
      <c r="S262" s="13">
        <v>41815</v>
      </c>
    </row>
    <row r="263" spans="1:19">
      <c r="A263" s="10">
        <v>2014</v>
      </c>
      <c r="B263" s="11" t="s">
        <v>483</v>
      </c>
      <c r="C263" s="11" t="s">
        <v>484</v>
      </c>
      <c r="D263" s="12">
        <v>1015042</v>
      </c>
      <c r="E263" s="12">
        <v>2</v>
      </c>
      <c r="F263" s="12"/>
      <c r="G263" s="12">
        <v>890</v>
      </c>
      <c r="H263" s="12">
        <v>14.2</v>
      </c>
      <c r="I263" s="12"/>
      <c r="J263" s="12" t="s">
        <v>128</v>
      </c>
      <c r="K263" s="12" t="b">
        <v>1</v>
      </c>
      <c r="L263" s="12">
        <v>8</v>
      </c>
      <c r="M263" s="8">
        <v>2022</v>
      </c>
      <c r="N263" s="9">
        <v>0</v>
      </c>
      <c r="O263" s="9">
        <v>0</v>
      </c>
      <c r="P263" s="9">
        <v>0</v>
      </c>
      <c r="Q263" s="9">
        <v>0</v>
      </c>
      <c r="R263" s="13">
        <v>41815</v>
      </c>
      <c r="S263" s="13">
        <v>41815</v>
      </c>
    </row>
    <row r="264" spans="1:19">
      <c r="A264" s="10">
        <v>2014</v>
      </c>
      <c r="B264" s="11" t="s">
        <v>483</v>
      </c>
      <c r="C264" s="11" t="s">
        <v>484</v>
      </c>
      <c r="D264" s="12">
        <v>1015042</v>
      </c>
      <c r="E264" s="12">
        <v>2</v>
      </c>
      <c r="F264" s="12"/>
      <c r="G264" s="12">
        <v>890</v>
      </c>
      <c r="H264" s="12">
        <v>14.2</v>
      </c>
      <c r="I264" s="12"/>
      <c r="J264" s="12" t="s">
        <v>128</v>
      </c>
      <c r="K264" s="12" t="b">
        <v>1</v>
      </c>
      <c r="L264" s="12">
        <v>4</v>
      </c>
      <c r="M264" s="8">
        <v>2018</v>
      </c>
      <c r="N264" s="9">
        <v>0</v>
      </c>
      <c r="O264" s="9">
        <v>0</v>
      </c>
      <c r="P264" s="9">
        <v>0</v>
      </c>
      <c r="Q264" s="9">
        <v>0</v>
      </c>
      <c r="R264" s="13">
        <v>41815</v>
      </c>
      <c r="S264" s="13">
        <v>41815</v>
      </c>
    </row>
    <row r="265" spans="1:19">
      <c r="A265" s="10">
        <v>2014</v>
      </c>
      <c r="B265" s="11" t="s">
        <v>483</v>
      </c>
      <c r="C265" s="11" t="s">
        <v>484</v>
      </c>
      <c r="D265" s="12">
        <v>1015042</v>
      </c>
      <c r="E265" s="12">
        <v>2</v>
      </c>
      <c r="F265" s="12"/>
      <c r="G265" s="12">
        <v>890</v>
      </c>
      <c r="H265" s="12">
        <v>14.2</v>
      </c>
      <c r="I265" s="12"/>
      <c r="J265" s="12" t="s">
        <v>128</v>
      </c>
      <c r="K265" s="12" t="b">
        <v>1</v>
      </c>
      <c r="L265" s="12">
        <v>3</v>
      </c>
      <c r="M265" s="8">
        <v>2017</v>
      </c>
      <c r="N265" s="9">
        <v>0</v>
      </c>
      <c r="O265" s="9">
        <v>0</v>
      </c>
      <c r="P265" s="9">
        <v>0</v>
      </c>
      <c r="Q265" s="9">
        <v>0</v>
      </c>
      <c r="R265" s="13">
        <v>41815</v>
      </c>
      <c r="S265" s="13">
        <v>41815</v>
      </c>
    </row>
    <row r="266" spans="1:19">
      <c r="A266" s="10">
        <v>2014</v>
      </c>
      <c r="B266" s="11" t="s">
        <v>483</v>
      </c>
      <c r="C266" s="11" t="s">
        <v>484</v>
      </c>
      <c r="D266" s="12">
        <v>1015042</v>
      </c>
      <c r="E266" s="12">
        <v>2</v>
      </c>
      <c r="F266" s="12"/>
      <c r="G266" s="12">
        <v>890</v>
      </c>
      <c r="H266" s="12">
        <v>14.2</v>
      </c>
      <c r="I266" s="12"/>
      <c r="J266" s="12" t="s">
        <v>128</v>
      </c>
      <c r="K266" s="12" t="b">
        <v>1</v>
      </c>
      <c r="L266" s="12">
        <v>7</v>
      </c>
      <c r="M266" s="8">
        <v>2021</v>
      </c>
      <c r="N266" s="9">
        <v>0</v>
      </c>
      <c r="O266" s="9">
        <v>0</v>
      </c>
      <c r="P266" s="9">
        <v>0</v>
      </c>
      <c r="Q266" s="9">
        <v>0</v>
      </c>
      <c r="R266" s="13">
        <v>41815</v>
      </c>
      <c r="S266" s="13">
        <v>41815</v>
      </c>
    </row>
    <row r="267" spans="1:19">
      <c r="A267" s="10">
        <v>2014</v>
      </c>
      <c r="B267" s="11" t="s">
        <v>483</v>
      </c>
      <c r="C267" s="11" t="s">
        <v>484</v>
      </c>
      <c r="D267" s="12">
        <v>1015042</v>
      </c>
      <c r="E267" s="12">
        <v>2</v>
      </c>
      <c r="F267" s="12"/>
      <c r="G267" s="12">
        <v>890</v>
      </c>
      <c r="H267" s="12">
        <v>14.2</v>
      </c>
      <c r="I267" s="12"/>
      <c r="J267" s="12" t="s">
        <v>128</v>
      </c>
      <c r="K267" s="12" t="b">
        <v>1</v>
      </c>
      <c r="L267" s="12">
        <v>2</v>
      </c>
      <c r="M267" s="8">
        <v>2016</v>
      </c>
      <c r="N267" s="9">
        <v>0</v>
      </c>
      <c r="O267" s="9">
        <v>0</v>
      </c>
      <c r="P267" s="9">
        <v>0</v>
      </c>
      <c r="Q267" s="9">
        <v>0</v>
      </c>
      <c r="R267" s="13">
        <v>41815</v>
      </c>
      <c r="S267" s="13">
        <v>41815</v>
      </c>
    </row>
    <row r="268" spans="1:19">
      <c r="A268" s="10">
        <v>2014</v>
      </c>
      <c r="B268" s="11" t="s">
        <v>483</v>
      </c>
      <c r="C268" s="11" t="s">
        <v>484</v>
      </c>
      <c r="D268" s="12">
        <v>1015042</v>
      </c>
      <c r="E268" s="12">
        <v>2</v>
      </c>
      <c r="F268" s="12"/>
      <c r="G268" s="12">
        <v>890</v>
      </c>
      <c r="H268" s="12">
        <v>14.2</v>
      </c>
      <c r="I268" s="12"/>
      <c r="J268" s="12" t="s">
        <v>128</v>
      </c>
      <c r="K268" s="12" t="b">
        <v>1</v>
      </c>
      <c r="L268" s="12">
        <v>1</v>
      </c>
      <c r="M268" s="8">
        <v>2015</v>
      </c>
      <c r="N268" s="9">
        <v>0</v>
      </c>
      <c r="O268" s="9">
        <v>0</v>
      </c>
      <c r="P268" s="9">
        <v>0</v>
      </c>
      <c r="Q268" s="9">
        <v>0</v>
      </c>
      <c r="R268" s="13">
        <v>41815</v>
      </c>
      <c r="S268" s="13">
        <v>41815</v>
      </c>
    </row>
    <row r="269" spans="1:19">
      <c r="A269" s="10">
        <v>2014</v>
      </c>
      <c r="B269" s="11" t="s">
        <v>483</v>
      </c>
      <c r="C269" s="11" t="s">
        <v>484</v>
      </c>
      <c r="D269" s="12">
        <v>1015042</v>
      </c>
      <c r="E269" s="12">
        <v>2</v>
      </c>
      <c r="F269" s="12"/>
      <c r="G269" s="12">
        <v>890</v>
      </c>
      <c r="H269" s="12">
        <v>14.2</v>
      </c>
      <c r="I269" s="12"/>
      <c r="J269" s="12" t="s">
        <v>128</v>
      </c>
      <c r="K269" s="12" t="b">
        <v>1</v>
      </c>
      <c r="L269" s="12">
        <v>0</v>
      </c>
      <c r="M269" s="8">
        <v>2014</v>
      </c>
      <c r="N269" s="9">
        <v>0</v>
      </c>
      <c r="O269" s="9">
        <v>0</v>
      </c>
      <c r="P269" s="9">
        <v>0</v>
      </c>
      <c r="Q269" s="9">
        <v>0</v>
      </c>
      <c r="R269" s="13">
        <v>41815</v>
      </c>
      <c r="S269" s="13">
        <v>41815</v>
      </c>
    </row>
    <row r="270" spans="1:19">
      <c r="A270" s="10">
        <v>2014</v>
      </c>
      <c r="B270" s="11" t="s">
        <v>483</v>
      </c>
      <c r="C270" s="11" t="s">
        <v>484</v>
      </c>
      <c r="D270" s="12">
        <v>1015042</v>
      </c>
      <c r="E270" s="12">
        <v>2</v>
      </c>
      <c r="F270" s="12"/>
      <c r="G270" s="12">
        <v>890</v>
      </c>
      <c r="H270" s="12">
        <v>14.2</v>
      </c>
      <c r="I270" s="12"/>
      <c r="J270" s="12" t="s">
        <v>128</v>
      </c>
      <c r="K270" s="12" t="b">
        <v>1</v>
      </c>
      <c r="L270" s="12">
        <v>5</v>
      </c>
      <c r="M270" s="8">
        <v>2019</v>
      </c>
      <c r="N270" s="9">
        <v>0</v>
      </c>
      <c r="O270" s="9">
        <v>0</v>
      </c>
      <c r="P270" s="9">
        <v>0</v>
      </c>
      <c r="Q270" s="9">
        <v>0</v>
      </c>
      <c r="R270" s="13">
        <v>41815</v>
      </c>
      <c r="S270" s="13">
        <v>41815</v>
      </c>
    </row>
    <row r="271" spans="1:19">
      <c r="A271" s="10">
        <v>2014</v>
      </c>
      <c r="B271" s="11" t="s">
        <v>483</v>
      </c>
      <c r="C271" s="11" t="s">
        <v>484</v>
      </c>
      <c r="D271" s="12">
        <v>1015042</v>
      </c>
      <c r="E271" s="12">
        <v>2</v>
      </c>
      <c r="F271" s="12"/>
      <c r="G271" s="12">
        <v>220</v>
      </c>
      <c r="H271" s="12">
        <v>4.0999999999999996</v>
      </c>
      <c r="I271" s="12"/>
      <c r="J271" s="12" t="s">
        <v>66</v>
      </c>
      <c r="K271" s="12" t="b">
        <v>0</v>
      </c>
      <c r="L271" s="12">
        <v>6</v>
      </c>
      <c r="M271" s="8">
        <v>2020</v>
      </c>
      <c r="N271" s="9">
        <v>0</v>
      </c>
      <c r="O271" s="9">
        <v>0</v>
      </c>
      <c r="P271" s="9">
        <v>0</v>
      </c>
      <c r="Q271" s="9">
        <v>0</v>
      </c>
      <c r="R271" s="13">
        <v>41815</v>
      </c>
      <c r="S271" s="13">
        <v>41815</v>
      </c>
    </row>
    <row r="272" spans="1:19">
      <c r="A272" s="10">
        <v>2014</v>
      </c>
      <c r="B272" s="11" t="s">
        <v>483</v>
      </c>
      <c r="C272" s="11" t="s">
        <v>484</v>
      </c>
      <c r="D272" s="12">
        <v>1015042</v>
      </c>
      <c r="E272" s="12">
        <v>2</v>
      </c>
      <c r="F272" s="12"/>
      <c r="G272" s="12">
        <v>220</v>
      </c>
      <c r="H272" s="12">
        <v>4.0999999999999996</v>
      </c>
      <c r="I272" s="12"/>
      <c r="J272" s="12" t="s">
        <v>66</v>
      </c>
      <c r="K272" s="12" t="b">
        <v>0</v>
      </c>
      <c r="L272" s="12">
        <v>7</v>
      </c>
      <c r="M272" s="8">
        <v>2021</v>
      </c>
      <c r="N272" s="9">
        <v>0</v>
      </c>
      <c r="O272" s="9">
        <v>0</v>
      </c>
      <c r="P272" s="9">
        <v>0</v>
      </c>
      <c r="Q272" s="9">
        <v>0</v>
      </c>
      <c r="R272" s="13">
        <v>41815</v>
      </c>
      <c r="S272" s="13">
        <v>41815</v>
      </c>
    </row>
    <row r="273" spans="1:19">
      <c r="A273" s="10">
        <v>2014</v>
      </c>
      <c r="B273" s="11" t="s">
        <v>483</v>
      </c>
      <c r="C273" s="11" t="s">
        <v>484</v>
      </c>
      <c r="D273" s="12">
        <v>1015042</v>
      </c>
      <c r="E273" s="12">
        <v>2</v>
      </c>
      <c r="F273" s="12"/>
      <c r="G273" s="12">
        <v>220</v>
      </c>
      <c r="H273" s="12">
        <v>4.0999999999999996</v>
      </c>
      <c r="I273" s="12"/>
      <c r="J273" s="12" t="s">
        <v>66</v>
      </c>
      <c r="K273" s="12" t="b">
        <v>0</v>
      </c>
      <c r="L273" s="12">
        <v>5</v>
      </c>
      <c r="M273" s="8">
        <v>2019</v>
      </c>
      <c r="N273" s="9">
        <v>0</v>
      </c>
      <c r="O273" s="9">
        <v>0</v>
      </c>
      <c r="P273" s="9">
        <v>0</v>
      </c>
      <c r="Q273" s="9">
        <v>0</v>
      </c>
      <c r="R273" s="13">
        <v>41815</v>
      </c>
      <c r="S273" s="13">
        <v>41815</v>
      </c>
    </row>
    <row r="274" spans="1:19">
      <c r="A274" s="10">
        <v>2014</v>
      </c>
      <c r="B274" s="11" t="s">
        <v>483</v>
      </c>
      <c r="C274" s="11" t="s">
        <v>484</v>
      </c>
      <c r="D274" s="12">
        <v>1015042</v>
      </c>
      <c r="E274" s="12">
        <v>2</v>
      </c>
      <c r="F274" s="12"/>
      <c r="G274" s="12">
        <v>220</v>
      </c>
      <c r="H274" s="12">
        <v>4.0999999999999996</v>
      </c>
      <c r="I274" s="12"/>
      <c r="J274" s="12" t="s">
        <v>66</v>
      </c>
      <c r="K274" s="12" t="b">
        <v>0</v>
      </c>
      <c r="L274" s="12">
        <v>1</v>
      </c>
      <c r="M274" s="8">
        <v>2015</v>
      </c>
      <c r="N274" s="9">
        <v>0</v>
      </c>
      <c r="O274" s="9">
        <v>0</v>
      </c>
      <c r="P274" s="9">
        <v>0</v>
      </c>
      <c r="Q274" s="9">
        <v>0</v>
      </c>
      <c r="R274" s="13">
        <v>41815</v>
      </c>
      <c r="S274" s="13">
        <v>41815</v>
      </c>
    </row>
    <row r="275" spans="1:19">
      <c r="A275" s="10">
        <v>2014</v>
      </c>
      <c r="B275" s="11" t="s">
        <v>483</v>
      </c>
      <c r="C275" s="11" t="s">
        <v>484</v>
      </c>
      <c r="D275" s="12">
        <v>1015042</v>
      </c>
      <c r="E275" s="12">
        <v>2</v>
      </c>
      <c r="F275" s="12"/>
      <c r="G275" s="12">
        <v>220</v>
      </c>
      <c r="H275" s="12">
        <v>4.0999999999999996</v>
      </c>
      <c r="I275" s="12"/>
      <c r="J275" s="12" t="s">
        <v>66</v>
      </c>
      <c r="K275" s="12" t="b">
        <v>0</v>
      </c>
      <c r="L275" s="12">
        <v>0</v>
      </c>
      <c r="M275" s="8">
        <v>2014</v>
      </c>
      <c r="N275" s="9">
        <v>0</v>
      </c>
      <c r="O275" s="9">
        <v>0</v>
      </c>
      <c r="P275" s="9">
        <v>0</v>
      </c>
      <c r="Q275" s="9">
        <v>0</v>
      </c>
      <c r="R275" s="13">
        <v>41815</v>
      </c>
      <c r="S275" s="13">
        <v>41815</v>
      </c>
    </row>
    <row r="276" spans="1:19">
      <c r="A276" s="10">
        <v>2014</v>
      </c>
      <c r="B276" s="11" t="s">
        <v>483</v>
      </c>
      <c r="C276" s="11" t="s">
        <v>484</v>
      </c>
      <c r="D276" s="12">
        <v>1015042</v>
      </c>
      <c r="E276" s="12">
        <v>2</v>
      </c>
      <c r="F276" s="12"/>
      <c r="G276" s="12">
        <v>220</v>
      </c>
      <c r="H276" s="12">
        <v>4.0999999999999996</v>
      </c>
      <c r="I276" s="12"/>
      <c r="J276" s="12" t="s">
        <v>66</v>
      </c>
      <c r="K276" s="12" t="b">
        <v>0</v>
      </c>
      <c r="L276" s="12">
        <v>8</v>
      </c>
      <c r="M276" s="8">
        <v>2022</v>
      </c>
      <c r="N276" s="9">
        <v>0</v>
      </c>
      <c r="O276" s="9">
        <v>0</v>
      </c>
      <c r="P276" s="9">
        <v>0</v>
      </c>
      <c r="Q276" s="9">
        <v>0</v>
      </c>
      <c r="R276" s="13">
        <v>41815</v>
      </c>
      <c r="S276" s="13">
        <v>41815</v>
      </c>
    </row>
    <row r="277" spans="1:19">
      <c r="A277" s="10">
        <v>2014</v>
      </c>
      <c r="B277" s="11" t="s">
        <v>483</v>
      </c>
      <c r="C277" s="11" t="s">
        <v>484</v>
      </c>
      <c r="D277" s="12">
        <v>1015042</v>
      </c>
      <c r="E277" s="12">
        <v>2</v>
      </c>
      <c r="F277" s="12"/>
      <c r="G277" s="12">
        <v>220</v>
      </c>
      <c r="H277" s="12">
        <v>4.0999999999999996</v>
      </c>
      <c r="I277" s="12"/>
      <c r="J277" s="12" t="s">
        <v>66</v>
      </c>
      <c r="K277" s="12" t="b">
        <v>0</v>
      </c>
      <c r="L277" s="12">
        <v>2</v>
      </c>
      <c r="M277" s="8">
        <v>2016</v>
      </c>
      <c r="N277" s="9">
        <v>0</v>
      </c>
      <c r="O277" s="9">
        <v>0</v>
      </c>
      <c r="P277" s="9">
        <v>0</v>
      </c>
      <c r="Q277" s="9">
        <v>0</v>
      </c>
      <c r="R277" s="13">
        <v>41815</v>
      </c>
      <c r="S277" s="13">
        <v>41815</v>
      </c>
    </row>
    <row r="278" spans="1:19">
      <c r="A278" s="10">
        <v>2014</v>
      </c>
      <c r="B278" s="11" t="s">
        <v>483</v>
      </c>
      <c r="C278" s="11" t="s">
        <v>484</v>
      </c>
      <c r="D278" s="12">
        <v>1015042</v>
      </c>
      <c r="E278" s="12">
        <v>2</v>
      </c>
      <c r="F278" s="12"/>
      <c r="G278" s="12">
        <v>220</v>
      </c>
      <c r="H278" s="12">
        <v>4.0999999999999996</v>
      </c>
      <c r="I278" s="12"/>
      <c r="J278" s="12" t="s">
        <v>66</v>
      </c>
      <c r="K278" s="12" t="b">
        <v>0</v>
      </c>
      <c r="L278" s="12">
        <v>3</v>
      </c>
      <c r="M278" s="8">
        <v>2017</v>
      </c>
      <c r="N278" s="9">
        <v>0</v>
      </c>
      <c r="O278" s="9">
        <v>0</v>
      </c>
      <c r="P278" s="9">
        <v>0</v>
      </c>
      <c r="Q278" s="9">
        <v>0</v>
      </c>
      <c r="R278" s="13">
        <v>41815</v>
      </c>
      <c r="S278" s="13">
        <v>41815</v>
      </c>
    </row>
    <row r="279" spans="1:19">
      <c r="A279" s="10">
        <v>2014</v>
      </c>
      <c r="B279" s="11" t="s">
        <v>483</v>
      </c>
      <c r="C279" s="11" t="s">
        <v>484</v>
      </c>
      <c r="D279" s="12">
        <v>1015042</v>
      </c>
      <c r="E279" s="12">
        <v>2</v>
      </c>
      <c r="F279" s="12"/>
      <c r="G279" s="12">
        <v>220</v>
      </c>
      <c r="H279" s="12">
        <v>4.0999999999999996</v>
      </c>
      <c r="I279" s="12"/>
      <c r="J279" s="12" t="s">
        <v>66</v>
      </c>
      <c r="K279" s="12" t="b">
        <v>0</v>
      </c>
      <c r="L279" s="12">
        <v>4</v>
      </c>
      <c r="M279" s="8">
        <v>2018</v>
      </c>
      <c r="N279" s="9">
        <v>0</v>
      </c>
      <c r="O279" s="9">
        <v>0</v>
      </c>
      <c r="P279" s="9">
        <v>0</v>
      </c>
      <c r="Q279" s="9">
        <v>0</v>
      </c>
      <c r="R279" s="13">
        <v>41815</v>
      </c>
      <c r="S279" s="13">
        <v>41815</v>
      </c>
    </row>
    <row r="280" spans="1:19">
      <c r="A280" s="10">
        <v>2014</v>
      </c>
      <c r="B280" s="11" t="s">
        <v>483</v>
      </c>
      <c r="C280" s="11" t="s">
        <v>484</v>
      </c>
      <c r="D280" s="12">
        <v>1015042</v>
      </c>
      <c r="E280" s="12">
        <v>2</v>
      </c>
      <c r="F280" s="12"/>
      <c r="G280" s="12">
        <v>560</v>
      </c>
      <c r="H280" s="12">
        <v>10.1</v>
      </c>
      <c r="I280" s="12"/>
      <c r="J280" s="12" t="s">
        <v>86</v>
      </c>
      <c r="K280" s="12" t="b">
        <v>0</v>
      </c>
      <c r="L280" s="12">
        <v>2</v>
      </c>
      <c r="M280" s="8">
        <v>2016</v>
      </c>
      <c r="N280" s="9">
        <v>0</v>
      </c>
      <c r="O280" s="9">
        <v>0</v>
      </c>
      <c r="P280" s="9">
        <v>0</v>
      </c>
      <c r="Q280" s="9">
        <v>0</v>
      </c>
      <c r="R280" s="13">
        <v>41815</v>
      </c>
      <c r="S280" s="13">
        <v>41815</v>
      </c>
    </row>
    <row r="281" spans="1:19">
      <c r="A281" s="10">
        <v>2014</v>
      </c>
      <c r="B281" s="11" t="s">
        <v>483</v>
      </c>
      <c r="C281" s="11" t="s">
        <v>484</v>
      </c>
      <c r="D281" s="12">
        <v>1015042</v>
      </c>
      <c r="E281" s="12">
        <v>2</v>
      </c>
      <c r="F281" s="12"/>
      <c r="G281" s="12">
        <v>560</v>
      </c>
      <c r="H281" s="12">
        <v>10.1</v>
      </c>
      <c r="I281" s="12"/>
      <c r="J281" s="12" t="s">
        <v>86</v>
      </c>
      <c r="K281" s="12" t="b">
        <v>0</v>
      </c>
      <c r="L281" s="12">
        <v>4</v>
      </c>
      <c r="M281" s="8">
        <v>2018</v>
      </c>
      <c r="N281" s="9">
        <v>0</v>
      </c>
      <c r="O281" s="9">
        <v>0</v>
      </c>
      <c r="P281" s="9">
        <v>0</v>
      </c>
      <c r="Q281" s="9">
        <v>0</v>
      </c>
      <c r="R281" s="13">
        <v>41815</v>
      </c>
      <c r="S281" s="13">
        <v>41815</v>
      </c>
    </row>
    <row r="282" spans="1:19">
      <c r="A282" s="10">
        <v>2014</v>
      </c>
      <c r="B282" s="11" t="s">
        <v>483</v>
      </c>
      <c r="C282" s="11" t="s">
        <v>484</v>
      </c>
      <c r="D282" s="12">
        <v>1015042</v>
      </c>
      <c r="E282" s="12">
        <v>2</v>
      </c>
      <c r="F282" s="12"/>
      <c r="G282" s="12">
        <v>560</v>
      </c>
      <c r="H282" s="12">
        <v>10.1</v>
      </c>
      <c r="I282" s="12"/>
      <c r="J282" s="12" t="s">
        <v>86</v>
      </c>
      <c r="K282" s="12" t="b">
        <v>0</v>
      </c>
      <c r="L282" s="12">
        <v>8</v>
      </c>
      <c r="M282" s="8">
        <v>2022</v>
      </c>
      <c r="N282" s="9">
        <v>0</v>
      </c>
      <c r="O282" s="9">
        <v>0</v>
      </c>
      <c r="P282" s="9">
        <v>0</v>
      </c>
      <c r="Q282" s="9">
        <v>0</v>
      </c>
      <c r="R282" s="13">
        <v>41815</v>
      </c>
      <c r="S282" s="13">
        <v>41815</v>
      </c>
    </row>
    <row r="283" spans="1:19">
      <c r="A283" s="10">
        <v>2014</v>
      </c>
      <c r="B283" s="11" t="s">
        <v>483</v>
      </c>
      <c r="C283" s="11" t="s">
        <v>484</v>
      </c>
      <c r="D283" s="12">
        <v>1015042</v>
      </c>
      <c r="E283" s="12">
        <v>2</v>
      </c>
      <c r="F283" s="12"/>
      <c r="G283" s="12">
        <v>560</v>
      </c>
      <c r="H283" s="12">
        <v>10.1</v>
      </c>
      <c r="I283" s="12"/>
      <c r="J283" s="12" t="s">
        <v>86</v>
      </c>
      <c r="K283" s="12" t="b">
        <v>0</v>
      </c>
      <c r="L283" s="12">
        <v>0</v>
      </c>
      <c r="M283" s="8">
        <v>2014</v>
      </c>
      <c r="N283" s="9">
        <v>0</v>
      </c>
      <c r="O283" s="9">
        <v>0</v>
      </c>
      <c r="P283" s="9">
        <v>0</v>
      </c>
      <c r="Q283" s="9">
        <v>0</v>
      </c>
      <c r="R283" s="13">
        <v>41815</v>
      </c>
      <c r="S283" s="13">
        <v>41815</v>
      </c>
    </row>
    <row r="284" spans="1:19">
      <c r="A284" s="10">
        <v>2014</v>
      </c>
      <c r="B284" s="11" t="s">
        <v>483</v>
      </c>
      <c r="C284" s="11" t="s">
        <v>484</v>
      </c>
      <c r="D284" s="12">
        <v>1015042</v>
      </c>
      <c r="E284" s="12">
        <v>2</v>
      </c>
      <c r="F284" s="12"/>
      <c r="G284" s="12">
        <v>560</v>
      </c>
      <c r="H284" s="12">
        <v>10.1</v>
      </c>
      <c r="I284" s="12"/>
      <c r="J284" s="12" t="s">
        <v>86</v>
      </c>
      <c r="K284" s="12" t="b">
        <v>0</v>
      </c>
      <c r="L284" s="12">
        <v>6</v>
      </c>
      <c r="M284" s="8">
        <v>2020</v>
      </c>
      <c r="N284" s="9">
        <v>0</v>
      </c>
      <c r="O284" s="9">
        <v>0</v>
      </c>
      <c r="P284" s="9">
        <v>0</v>
      </c>
      <c r="Q284" s="9">
        <v>0</v>
      </c>
      <c r="R284" s="13">
        <v>41815</v>
      </c>
      <c r="S284" s="13">
        <v>41815</v>
      </c>
    </row>
    <row r="285" spans="1:19">
      <c r="A285" s="10">
        <v>2014</v>
      </c>
      <c r="B285" s="11" t="s">
        <v>483</v>
      </c>
      <c r="C285" s="11" t="s">
        <v>484</v>
      </c>
      <c r="D285" s="12">
        <v>1015042</v>
      </c>
      <c r="E285" s="12">
        <v>2</v>
      </c>
      <c r="F285" s="12"/>
      <c r="G285" s="12">
        <v>560</v>
      </c>
      <c r="H285" s="12">
        <v>10.1</v>
      </c>
      <c r="I285" s="12"/>
      <c r="J285" s="12" t="s">
        <v>86</v>
      </c>
      <c r="K285" s="12" t="b">
        <v>0</v>
      </c>
      <c r="L285" s="12">
        <v>1</v>
      </c>
      <c r="M285" s="8">
        <v>2015</v>
      </c>
      <c r="N285" s="9">
        <v>0</v>
      </c>
      <c r="O285" s="9">
        <v>0</v>
      </c>
      <c r="P285" s="9">
        <v>0</v>
      </c>
      <c r="Q285" s="9">
        <v>0</v>
      </c>
      <c r="R285" s="13">
        <v>41815</v>
      </c>
      <c r="S285" s="13">
        <v>41815</v>
      </c>
    </row>
    <row r="286" spans="1:19">
      <c r="A286" s="10">
        <v>2014</v>
      </c>
      <c r="B286" s="11" t="s">
        <v>483</v>
      </c>
      <c r="C286" s="11" t="s">
        <v>484</v>
      </c>
      <c r="D286" s="12">
        <v>1015042</v>
      </c>
      <c r="E286" s="12">
        <v>2</v>
      </c>
      <c r="F286" s="12"/>
      <c r="G286" s="12">
        <v>560</v>
      </c>
      <c r="H286" s="12">
        <v>10.1</v>
      </c>
      <c r="I286" s="12"/>
      <c r="J286" s="12" t="s">
        <v>86</v>
      </c>
      <c r="K286" s="12" t="b">
        <v>0</v>
      </c>
      <c r="L286" s="12">
        <v>7</v>
      </c>
      <c r="M286" s="8">
        <v>2021</v>
      </c>
      <c r="N286" s="9">
        <v>0</v>
      </c>
      <c r="O286" s="9">
        <v>0</v>
      </c>
      <c r="P286" s="9">
        <v>0</v>
      </c>
      <c r="Q286" s="9">
        <v>0</v>
      </c>
      <c r="R286" s="13">
        <v>41815</v>
      </c>
      <c r="S286" s="13">
        <v>41815</v>
      </c>
    </row>
    <row r="287" spans="1:19">
      <c r="A287" s="10">
        <v>2014</v>
      </c>
      <c r="B287" s="11" t="s">
        <v>483</v>
      </c>
      <c r="C287" s="11" t="s">
        <v>484</v>
      </c>
      <c r="D287" s="12">
        <v>1015042</v>
      </c>
      <c r="E287" s="12">
        <v>2</v>
      </c>
      <c r="F287" s="12"/>
      <c r="G287" s="12">
        <v>560</v>
      </c>
      <c r="H287" s="12">
        <v>10.1</v>
      </c>
      <c r="I287" s="12"/>
      <c r="J287" s="12" t="s">
        <v>86</v>
      </c>
      <c r="K287" s="12" t="b">
        <v>0</v>
      </c>
      <c r="L287" s="12">
        <v>5</v>
      </c>
      <c r="M287" s="8">
        <v>2019</v>
      </c>
      <c r="N287" s="9">
        <v>0</v>
      </c>
      <c r="O287" s="9">
        <v>0</v>
      </c>
      <c r="P287" s="9">
        <v>0</v>
      </c>
      <c r="Q287" s="9">
        <v>0</v>
      </c>
      <c r="R287" s="13">
        <v>41815</v>
      </c>
      <c r="S287" s="13">
        <v>41815</v>
      </c>
    </row>
    <row r="288" spans="1:19">
      <c r="A288" s="10">
        <v>2014</v>
      </c>
      <c r="B288" s="11" t="s">
        <v>483</v>
      </c>
      <c r="C288" s="11" t="s">
        <v>484</v>
      </c>
      <c r="D288" s="12">
        <v>1015042</v>
      </c>
      <c r="E288" s="12">
        <v>2</v>
      </c>
      <c r="F288" s="12"/>
      <c r="G288" s="12">
        <v>560</v>
      </c>
      <c r="H288" s="12">
        <v>10.1</v>
      </c>
      <c r="I288" s="12"/>
      <c r="J288" s="12" t="s">
        <v>86</v>
      </c>
      <c r="K288" s="12" t="b">
        <v>0</v>
      </c>
      <c r="L288" s="12">
        <v>3</v>
      </c>
      <c r="M288" s="8">
        <v>2017</v>
      </c>
      <c r="N288" s="9">
        <v>0</v>
      </c>
      <c r="O288" s="9">
        <v>0</v>
      </c>
      <c r="P288" s="9">
        <v>0</v>
      </c>
      <c r="Q288" s="9">
        <v>0</v>
      </c>
      <c r="R288" s="13">
        <v>41815</v>
      </c>
      <c r="S288" s="13">
        <v>41815</v>
      </c>
    </row>
    <row r="289" spans="1:19">
      <c r="A289" s="10">
        <v>2014</v>
      </c>
      <c r="B289" s="11" t="s">
        <v>483</v>
      </c>
      <c r="C289" s="11" t="s">
        <v>484</v>
      </c>
      <c r="D289" s="12">
        <v>1015042</v>
      </c>
      <c r="E289" s="12">
        <v>2</v>
      </c>
      <c r="F289" s="12"/>
      <c r="G289" s="12">
        <v>540</v>
      </c>
      <c r="H289" s="12" t="s">
        <v>84</v>
      </c>
      <c r="I289" s="12" t="s">
        <v>393</v>
      </c>
      <c r="J289" s="12" t="s">
        <v>394</v>
      </c>
      <c r="K289" s="12" t="b">
        <v>0</v>
      </c>
      <c r="L289" s="12">
        <v>4</v>
      </c>
      <c r="M289" s="8">
        <v>2018</v>
      </c>
      <c r="N289" s="9">
        <v>1.34E-2</v>
      </c>
      <c r="O289" s="9">
        <v>7.4300000000000005E-2</v>
      </c>
      <c r="P289" s="9">
        <v>4.7300000000000002E-2</v>
      </c>
      <c r="Q289" s="9">
        <v>4.48E-2</v>
      </c>
      <c r="R289" s="13">
        <v>41815</v>
      </c>
      <c r="S289" s="13">
        <v>41815</v>
      </c>
    </row>
    <row r="290" spans="1:19">
      <c r="A290" s="10">
        <v>2014</v>
      </c>
      <c r="B290" s="11" t="s">
        <v>483</v>
      </c>
      <c r="C290" s="11" t="s">
        <v>484</v>
      </c>
      <c r="D290" s="12">
        <v>1015042</v>
      </c>
      <c r="E290" s="12">
        <v>2</v>
      </c>
      <c r="F290" s="12"/>
      <c r="G290" s="12">
        <v>540</v>
      </c>
      <c r="H290" s="12" t="s">
        <v>84</v>
      </c>
      <c r="I290" s="12" t="s">
        <v>393</v>
      </c>
      <c r="J290" s="12" t="s">
        <v>394</v>
      </c>
      <c r="K290" s="12" t="b">
        <v>0</v>
      </c>
      <c r="L290" s="12">
        <v>8</v>
      </c>
      <c r="M290" s="8">
        <v>2022</v>
      </c>
      <c r="N290" s="9">
        <v>1.34E-2</v>
      </c>
      <c r="O290" s="9">
        <v>7.4300000000000005E-2</v>
      </c>
      <c r="P290" s="9">
        <v>4.7300000000000002E-2</v>
      </c>
      <c r="Q290" s="9">
        <v>4.48E-2</v>
      </c>
      <c r="R290" s="13">
        <v>41815</v>
      </c>
      <c r="S290" s="13">
        <v>41815</v>
      </c>
    </row>
    <row r="291" spans="1:19">
      <c r="A291" s="10">
        <v>2014</v>
      </c>
      <c r="B291" s="11" t="s">
        <v>483</v>
      </c>
      <c r="C291" s="11" t="s">
        <v>484</v>
      </c>
      <c r="D291" s="12">
        <v>1015042</v>
      </c>
      <c r="E291" s="12">
        <v>2</v>
      </c>
      <c r="F291" s="12"/>
      <c r="G291" s="12">
        <v>540</v>
      </c>
      <c r="H291" s="12" t="s">
        <v>84</v>
      </c>
      <c r="I291" s="12" t="s">
        <v>393</v>
      </c>
      <c r="J291" s="12" t="s">
        <v>394</v>
      </c>
      <c r="K291" s="12" t="b">
        <v>0</v>
      </c>
      <c r="L291" s="12">
        <v>1</v>
      </c>
      <c r="M291" s="8">
        <v>2015</v>
      </c>
      <c r="N291" s="9">
        <v>1.34E-2</v>
      </c>
      <c r="O291" s="9">
        <v>7.4300000000000005E-2</v>
      </c>
      <c r="P291" s="9">
        <v>4.7300000000000002E-2</v>
      </c>
      <c r="Q291" s="9">
        <v>4.48E-2</v>
      </c>
      <c r="R291" s="13">
        <v>41815</v>
      </c>
      <c r="S291" s="13">
        <v>41815</v>
      </c>
    </row>
    <row r="292" spans="1:19">
      <c r="A292" s="10">
        <v>2014</v>
      </c>
      <c r="B292" s="11" t="s">
        <v>483</v>
      </c>
      <c r="C292" s="11" t="s">
        <v>484</v>
      </c>
      <c r="D292" s="12">
        <v>1015042</v>
      </c>
      <c r="E292" s="12">
        <v>2</v>
      </c>
      <c r="F292" s="12"/>
      <c r="G292" s="12">
        <v>540</v>
      </c>
      <c r="H292" s="12" t="s">
        <v>84</v>
      </c>
      <c r="I292" s="12" t="s">
        <v>393</v>
      </c>
      <c r="J292" s="12" t="s">
        <v>394</v>
      </c>
      <c r="K292" s="12" t="b">
        <v>0</v>
      </c>
      <c r="L292" s="12">
        <v>0</v>
      </c>
      <c r="M292" s="8">
        <v>2014</v>
      </c>
      <c r="N292" s="9">
        <v>1.34E-2</v>
      </c>
      <c r="O292" s="9">
        <v>7.4300000000000005E-2</v>
      </c>
      <c r="P292" s="9">
        <v>4.7300000000000002E-2</v>
      </c>
      <c r="Q292" s="9">
        <v>4.48E-2</v>
      </c>
      <c r="R292" s="13">
        <v>41815</v>
      </c>
      <c r="S292" s="13">
        <v>41815</v>
      </c>
    </row>
    <row r="293" spans="1:19">
      <c r="A293" s="10">
        <v>2014</v>
      </c>
      <c r="B293" s="11" t="s">
        <v>483</v>
      </c>
      <c r="C293" s="11" t="s">
        <v>484</v>
      </c>
      <c r="D293" s="12">
        <v>1015042</v>
      </c>
      <c r="E293" s="12">
        <v>2</v>
      </c>
      <c r="F293" s="12"/>
      <c r="G293" s="12">
        <v>540</v>
      </c>
      <c r="H293" s="12" t="s">
        <v>84</v>
      </c>
      <c r="I293" s="12" t="s">
        <v>393</v>
      </c>
      <c r="J293" s="12" t="s">
        <v>394</v>
      </c>
      <c r="K293" s="12" t="b">
        <v>0</v>
      </c>
      <c r="L293" s="12">
        <v>7</v>
      </c>
      <c r="M293" s="8">
        <v>2021</v>
      </c>
      <c r="N293" s="9">
        <v>1.34E-2</v>
      </c>
      <c r="O293" s="9">
        <v>7.4300000000000005E-2</v>
      </c>
      <c r="P293" s="9">
        <v>4.7300000000000002E-2</v>
      </c>
      <c r="Q293" s="9">
        <v>4.48E-2</v>
      </c>
      <c r="R293" s="13">
        <v>41815</v>
      </c>
      <c r="S293" s="13">
        <v>41815</v>
      </c>
    </row>
    <row r="294" spans="1:19">
      <c r="A294" s="10">
        <v>2014</v>
      </c>
      <c r="B294" s="11" t="s">
        <v>483</v>
      </c>
      <c r="C294" s="11" t="s">
        <v>484</v>
      </c>
      <c r="D294" s="12">
        <v>1015042</v>
      </c>
      <c r="E294" s="12">
        <v>2</v>
      </c>
      <c r="F294" s="12"/>
      <c r="G294" s="12">
        <v>540</v>
      </c>
      <c r="H294" s="12" t="s">
        <v>84</v>
      </c>
      <c r="I294" s="12" t="s">
        <v>393</v>
      </c>
      <c r="J294" s="12" t="s">
        <v>394</v>
      </c>
      <c r="K294" s="12" t="b">
        <v>0</v>
      </c>
      <c r="L294" s="12">
        <v>6</v>
      </c>
      <c r="M294" s="8">
        <v>2020</v>
      </c>
      <c r="N294" s="9">
        <v>1.34E-2</v>
      </c>
      <c r="O294" s="9">
        <v>7.4300000000000005E-2</v>
      </c>
      <c r="P294" s="9">
        <v>4.7300000000000002E-2</v>
      </c>
      <c r="Q294" s="9">
        <v>4.48E-2</v>
      </c>
      <c r="R294" s="13">
        <v>41815</v>
      </c>
      <c r="S294" s="13">
        <v>41815</v>
      </c>
    </row>
    <row r="295" spans="1:19">
      <c r="A295" s="10">
        <v>2014</v>
      </c>
      <c r="B295" s="11" t="s">
        <v>483</v>
      </c>
      <c r="C295" s="11" t="s">
        <v>484</v>
      </c>
      <c r="D295" s="12">
        <v>1015042</v>
      </c>
      <c r="E295" s="12">
        <v>2</v>
      </c>
      <c r="F295" s="12"/>
      <c r="G295" s="12">
        <v>540</v>
      </c>
      <c r="H295" s="12" t="s">
        <v>84</v>
      </c>
      <c r="I295" s="12" t="s">
        <v>393</v>
      </c>
      <c r="J295" s="12" t="s">
        <v>394</v>
      </c>
      <c r="K295" s="12" t="b">
        <v>0</v>
      </c>
      <c r="L295" s="12">
        <v>2</v>
      </c>
      <c r="M295" s="8">
        <v>2016</v>
      </c>
      <c r="N295" s="9">
        <v>1.34E-2</v>
      </c>
      <c r="O295" s="9">
        <v>7.4300000000000005E-2</v>
      </c>
      <c r="P295" s="9">
        <v>4.7300000000000002E-2</v>
      </c>
      <c r="Q295" s="9">
        <v>4.48E-2</v>
      </c>
      <c r="R295" s="13">
        <v>41815</v>
      </c>
      <c r="S295" s="13">
        <v>41815</v>
      </c>
    </row>
    <row r="296" spans="1:19">
      <c r="A296" s="10">
        <v>2014</v>
      </c>
      <c r="B296" s="11" t="s">
        <v>483</v>
      </c>
      <c r="C296" s="11" t="s">
        <v>484</v>
      </c>
      <c r="D296" s="12">
        <v>1015042</v>
      </c>
      <c r="E296" s="12">
        <v>2</v>
      </c>
      <c r="F296" s="12"/>
      <c r="G296" s="12">
        <v>540</v>
      </c>
      <c r="H296" s="12" t="s">
        <v>84</v>
      </c>
      <c r="I296" s="12" t="s">
        <v>393</v>
      </c>
      <c r="J296" s="12" t="s">
        <v>394</v>
      </c>
      <c r="K296" s="12" t="b">
        <v>0</v>
      </c>
      <c r="L296" s="12">
        <v>3</v>
      </c>
      <c r="M296" s="8">
        <v>2017</v>
      </c>
      <c r="N296" s="9">
        <v>1.34E-2</v>
      </c>
      <c r="O296" s="9">
        <v>7.4300000000000005E-2</v>
      </c>
      <c r="P296" s="9">
        <v>4.7300000000000002E-2</v>
      </c>
      <c r="Q296" s="9">
        <v>4.48E-2</v>
      </c>
      <c r="R296" s="13">
        <v>41815</v>
      </c>
      <c r="S296" s="13">
        <v>41815</v>
      </c>
    </row>
    <row r="297" spans="1:19">
      <c r="A297" s="10">
        <v>2014</v>
      </c>
      <c r="B297" s="11" t="s">
        <v>483</v>
      </c>
      <c r="C297" s="11" t="s">
        <v>484</v>
      </c>
      <c r="D297" s="12">
        <v>1015042</v>
      </c>
      <c r="E297" s="12">
        <v>2</v>
      </c>
      <c r="F297" s="12"/>
      <c r="G297" s="12">
        <v>540</v>
      </c>
      <c r="H297" s="12" t="s">
        <v>84</v>
      </c>
      <c r="I297" s="12" t="s">
        <v>393</v>
      </c>
      <c r="J297" s="12" t="s">
        <v>394</v>
      </c>
      <c r="K297" s="12" t="b">
        <v>0</v>
      </c>
      <c r="L297" s="12">
        <v>5</v>
      </c>
      <c r="M297" s="8">
        <v>2019</v>
      </c>
      <c r="N297" s="9">
        <v>1.34E-2</v>
      </c>
      <c r="O297" s="9">
        <v>7.4300000000000005E-2</v>
      </c>
      <c r="P297" s="9">
        <v>4.7300000000000002E-2</v>
      </c>
      <c r="Q297" s="9">
        <v>4.48E-2</v>
      </c>
      <c r="R297" s="13">
        <v>41815</v>
      </c>
      <c r="S297" s="13">
        <v>41815</v>
      </c>
    </row>
    <row r="298" spans="1:19">
      <c r="A298" s="10">
        <v>2014</v>
      </c>
      <c r="B298" s="11" t="s">
        <v>483</v>
      </c>
      <c r="C298" s="11" t="s">
        <v>484</v>
      </c>
      <c r="D298" s="12">
        <v>1015042</v>
      </c>
      <c r="E298" s="12">
        <v>2</v>
      </c>
      <c r="F298" s="12"/>
      <c r="G298" s="12">
        <v>620</v>
      </c>
      <c r="H298" s="12" t="s">
        <v>92</v>
      </c>
      <c r="I298" s="12"/>
      <c r="J298" s="12" t="s">
        <v>93</v>
      </c>
      <c r="K298" s="12" t="b">
        <v>1</v>
      </c>
      <c r="L298" s="12">
        <v>8</v>
      </c>
      <c r="M298" s="8">
        <v>2022</v>
      </c>
      <c r="N298" s="9">
        <v>0</v>
      </c>
      <c r="O298" s="9">
        <v>0</v>
      </c>
      <c r="P298" s="9">
        <v>2165069</v>
      </c>
      <c r="Q298" s="9">
        <v>2150606.7200000002</v>
      </c>
      <c r="R298" s="13">
        <v>41815</v>
      </c>
      <c r="S298" s="13">
        <v>41815</v>
      </c>
    </row>
    <row r="299" spans="1:19">
      <c r="A299" s="10">
        <v>2014</v>
      </c>
      <c r="B299" s="11" t="s">
        <v>483</v>
      </c>
      <c r="C299" s="11" t="s">
        <v>484</v>
      </c>
      <c r="D299" s="12">
        <v>1015042</v>
      </c>
      <c r="E299" s="12">
        <v>2</v>
      </c>
      <c r="F299" s="12"/>
      <c r="G299" s="12">
        <v>620</v>
      </c>
      <c r="H299" s="12" t="s">
        <v>92</v>
      </c>
      <c r="I299" s="12"/>
      <c r="J299" s="12" t="s">
        <v>93</v>
      </c>
      <c r="K299" s="12" t="b">
        <v>1</v>
      </c>
      <c r="L299" s="12">
        <v>2</v>
      </c>
      <c r="M299" s="8">
        <v>2016</v>
      </c>
      <c r="N299" s="9">
        <v>0</v>
      </c>
      <c r="O299" s="9">
        <v>0</v>
      </c>
      <c r="P299" s="9">
        <v>2165069</v>
      </c>
      <c r="Q299" s="9">
        <v>2150606.7200000002</v>
      </c>
      <c r="R299" s="13">
        <v>41815</v>
      </c>
      <c r="S299" s="13">
        <v>41815</v>
      </c>
    </row>
    <row r="300" spans="1:19">
      <c r="A300" s="10">
        <v>2014</v>
      </c>
      <c r="B300" s="11" t="s">
        <v>483</v>
      </c>
      <c r="C300" s="11" t="s">
        <v>484</v>
      </c>
      <c r="D300" s="12">
        <v>1015042</v>
      </c>
      <c r="E300" s="12">
        <v>2</v>
      </c>
      <c r="F300" s="12"/>
      <c r="G300" s="12">
        <v>620</v>
      </c>
      <c r="H300" s="12" t="s">
        <v>92</v>
      </c>
      <c r="I300" s="12"/>
      <c r="J300" s="12" t="s">
        <v>93</v>
      </c>
      <c r="K300" s="12" t="b">
        <v>1</v>
      </c>
      <c r="L300" s="12">
        <v>7</v>
      </c>
      <c r="M300" s="8">
        <v>2021</v>
      </c>
      <c r="N300" s="9">
        <v>0</v>
      </c>
      <c r="O300" s="9">
        <v>0</v>
      </c>
      <c r="P300" s="9">
        <v>2165069</v>
      </c>
      <c r="Q300" s="9">
        <v>2150606.7200000002</v>
      </c>
      <c r="R300" s="13">
        <v>41815</v>
      </c>
      <c r="S300" s="13">
        <v>41815</v>
      </c>
    </row>
    <row r="301" spans="1:19">
      <c r="A301" s="10">
        <v>2014</v>
      </c>
      <c r="B301" s="11" t="s">
        <v>483</v>
      </c>
      <c r="C301" s="11" t="s">
        <v>484</v>
      </c>
      <c r="D301" s="12">
        <v>1015042</v>
      </c>
      <c r="E301" s="12">
        <v>2</v>
      </c>
      <c r="F301" s="12"/>
      <c r="G301" s="12">
        <v>620</v>
      </c>
      <c r="H301" s="12" t="s">
        <v>92</v>
      </c>
      <c r="I301" s="12"/>
      <c r="J301" s="12" t="s">
        <v>93</v>
      </c>
      <c r="K301" s="12" t="b">
        <v>1</v>
      </c>
      <c r="L301" s="12">
        <v>3</v>
      </c>
      <c r="M301" s="8">
        <v>2017</v>
      </c>
      <c r="N301" s="9">
        <v>0</v>
      </c>
      <c r="O301" s="9">
        <v>0</v>
      </c>
      <c r="P301" s="9">
        <v>2165069</v>
      </c>
      <c r="Q301" s="9">
        <v>2150606.7200000002</v>
      </c>
      <c r="R301" s="13">
        <v>41815</v>
      </c>
      <c r="S301" s="13">
        <v>41815</v>
      </c>
    </row>
    <row r="302" spans="1:19">
      <c r="A302" s="10">
        <v>2014</v>
      </c>
      <c r="B302" s="11" t="s">
        <v>483</v>
      </c>
      <c r="C302" s="11" t="s">
        <v>484</v>
      </c>
      <c r="D302" s="12">
        <v>1015042</v>
      </c>
      <c r="E302" s="12">
        <v>2</v>
      </c>
      <c r="F302" s="12"/>
      <c r="G302" s="12">
        <v>620</v>
      </c>
      <c r="H302" s="12" t="s">
        <v>92</v>
      </c>
      <c r="I302" s="12"/>
      <c r="J302" s="12" t="s">
        <v>93</v>
      </c>
      <c r="K302" s="12" t="b">
        <v>1</v>
      </c>
      <c r="L302" s="12">
        <v>1</v>
      </c>
      <c r="M302" s="8">
        <v>2015</v>
      </c>
      <c r="N302" s="9">
        <v>0</v>
      </c>
      <c r="O302" s="9">
        <v>0</v>
      </c>
      <c r="P302" s="9">
        <v>2165069</v>
      </c>
      <c r="Q302" s="9">
        <v>2150606.7200000002</v>
      </c>
      <c r="R302" s="13">
        <v>41815</v>
      </c>
      <c r="S302" s="13">
        <v>41815</v>
      </c>
    </row>
    <row r="303" spans="1:19">
      <c r="A303" s="10">
        <v>2014</v>
      </c>
      <c r="B303" s="11" t="s">
        <v>483</v>
      </c>
      <c r="C303" s="11" t="s">
        <v>484</v>
      </c>
      <c r="D303" s="12">
        <v>1015042</v>
      </c>
      <c r="E303" s="12">
        <v>2</v>
      </c>
      <c r="F303" s="12"/>
      <c r="G303" s="12">
        <v>620</v>
      </c>
      <c r="H303" s="12" t="s">
        <v>92</v>
      </c>
      <c r="I303" s="12"/>
      <c r="J303" s="12" t="s">
        <v>93</v>
      </c>
      <c r="K303" s="12" t="b">
        <v>1</v>
      </c>
      <c r="L303" s="12">
        <v>5</v>
      </c>
      <c r="M303" s="8">
        <v>2019</v>
      </c>
      <c r="N303" s="9">
        <v>0</v>
      </c>
      <c r="O303" s="9">
        <v>0</v>
      </c>
      <c r="P303" s="9">
        <v>2165069</v>
      </c>
      <c r="Q303" s="9">
        <v>2150606.7200000002</v>
      </c>
      <c r="R303" s="13">
        <v>41815</v>
      </c>
      <c r="S303" s="13">
        <v>41815</v>
      </c>
    </row>
    <row r="304" spans="1:19">
      <c r="A304" s="10">
        <v>2014</v>
      </c>
      <c r="B304" s="11" t="s">
        <v>483</v>
      </c>
      <c r="C304" s="11" t="s">
        <v>484</v>
      </c>
      <c r="D304" s="12">
        <v>1015042</v>
      </c>
      <c r="E304" s="12">
        <v>2</v>
      </c>
      <c r="F304" s="12"/>
      <c r="G304" s="12">
        <v>620</v>
      </c>
      <c r="H304" s="12" t="s">
        <v>92</v>
      </c>
      <c r="I304" s="12"/>
      <c r="J304" s="12" t="s">
        <v>93</v>
      </c>
      <c r="K304" s="12" t="b">
        <v>1</v>
      </c>
      <c r="L304" s="12">
        <v>4</v>
      </c>
      <c r="M304" s="8">
        <v>2018</v>
      </c>
      <c r="N304" s="9">
        <v>0</v>
      </c>
      <c r="O304" s="9">
        <v>0</v>
      </c>
      <c r="P304" s="9">
        <v>2165069</v>
      </c>
      <c r="Q304" s="9">
        <v>2150606.7200000002</v>
      </c>
      <c r="R304" s="13">
        <v>41815</v>
      </c>
      <c r="S304" s="13">
        <v>41815</v>
      </c>
    </row>
    <row r="305" spans="1:19">
      <c r="A305" s="10">
        <v>2014</v>
      </c>
      <c r="B305" s="11" t="s">
        <v>483</v>
      </c>
      <c r="C305" s="11" t="s">
        <v>484</v>
      </c>
      <c r="D305" s="12">
        <v>1015042</v>
      </c>
      <c r="E305" s="12">
        <v>2</v>
      </c>
      <c r="F305" s="12"/>
      <c r="G305" s="12">
        <v>620</v>
      </c>
      <c r="H305" s="12" t="s">
        <v>92</v>
      </c>
      <c r="I305" s="12"/>
      <c r="J305" s="12" t="s">
        <v>93</v>
      </c>
      <c r="K305" s="12" t="b">
        <v>1</v>
      </c>
      <c r="L305" s="12">
        <v>0</v>
      </c>
      <c r="M305" s="8">
        <v>2014</v>
      </c>
      <c r="N305" s="9">
        <v>0</v>
      </c>
      <c r="O305" s="9">
        <v>0</v>
      </c>
      <c r="P305" s="9">
        <v>2165069</v>
      </c>
      <c r="Q305" s="9">
        <v>2150606.7200000002</v>
      </c>
      <c r="R305" s="13">
        <v>41815</v>
      </c>
      <c r="S305" s="13">
        <v>41815</v>
      </c>
    </row>
    <row r="306" spans="1:19">
      <c r="A306" s="10">
        <v>2014</v>
      </c>
      <c r="B306" s="11" t="s">
        <v>483</v>
      </c>
      <c r="C306" s="11" t="s">
        <v>484</v>
      </c>
      <c r="D306" s="12">
        <v>1015042</v>
      </c>
      <c r="E306" s="12">
        <v>2</v>
      </c>
      <c r="F306" s="12"/>
      <c r="G306" s="12">
        <v>620</v>
      </c>
      <c r="H306" s="12" t="s">
        <v>92</v>
      </c>
      <c r="I306" s="12"/>
      <c r="J306" s="12" t="s">
        <v>93</v>
      </c>
      <c r="K306" s="12" t="b">
        <v>1</v>
      </c>
      <c r="L306" s="12">
        <v>6</v>
      </c>
      <c r="M306" s="8">
        <v>2020</v>
      </c>
      <c r="N306" s="9">
        <v>0</v>
      </c>
      <c r="O306" s="9">
        <v>0</v>
      </c>
      <c r="P306" s="9">
        <v>2165069</v>
      </c>
      <c r="Q306" s="9">
        <v>2150606.7200000002</v>
      </c>
      <c r="R306" s="13">
        <v>41815</v>
      </c>
      <c r="S306" s="13">
        <v>41815</v>
      </c>
    </row>
    <row r="307" spans="1:19">
      <c r="A307" s="10">
        <v>2014</v>
      </c>
      <c r="B307" s="11" t="s">
        <v>483</v>
      </c>
      <c r="C307" s="11" t="s">
        <v>484</v>
      </c>
      <c r="D307" s="12">
        <v>1015042</v>
      </c>
      <c r="E307" s="12">
        <v>2</v>
      </c>
      <c r="F307" s="12"/>
      <c r="G307" s="12">
        <v>180</v>
      </c>
      <c r="H307" s="12" t="s">
        <v>64</v>
      </c>
      <c r="I307" s="12"/>
      <c r="J307" s="12" t="s">
        <v>361</v>
      </c>
      <c r="K307" s="12" t="b">
        <v>0</v>
      </c>
      <c r="L307" s="12">
        <v>8</v>
      </c>
      <c r="M307" s="8">
        <v>2022</v>
      </c>
      <c r="N307" s="9">
        <v>36136.47</v>
      </c>
      <c r="O307" s="9">
        <v>111439.26</v>
      </c>
      <c r="P307" s="9">
        <v>100000</v>
      </c>
      <c r="Q307" s="9">
        <v>63955.86</v>
      </c>
      <c r="R307" s="13">
        <v>41815</v>
      </c>
      <c r="S307" s="13">
        <v>41815</v>
      </c>
    </row>
    <row r="308" spans="1:19">
      <c r="A308" s="10">
        <v>2014</v>
      </c>
      <c r="B308" s="11" t="s">
        <v>483</v>
      </c>
      <c r="C308" s="11" t="s">
        <v>484</v>
      </c>
      <c r="D308" s="12">
        <v>1015042</v>
      </c>
      <c r="E308" s="12">
        <v>2</v>
      </c>
      <c r="F308" s="12"/>
      <c r="G308" s="12">
        <v>180</v>
      </c>
      <c r="H308" s="12" t="s">
        <v>64</v>
      </c>
      <c r="I308" s="12"/>
      <c r="J308" s="12" t="s">
        <v>361</v>
      </c>
      <c r="K308" s="12" t="b">
        <v>0</v>
      </c>
      <c r="L308" s="12">
        <v>3</v>
      </c>
      <c r="M308" s="8">
        <v>2017</v>
      </c>
      <c r="N308" s="9">
        <v>36136.47</v>
      </c>
      <c r="O308" s="9">
        <v>111439.26</v>
      </c>
      <c r="P308" s="9">
        <v>100000</v>
      </c>
      <c r="Q308" s="9">
        <v>63955.86</v>
      </c>
      <c r="R308" s="13">
        <v>41815</v>
      </c>
      <c r="S308" s="13">
        <v>41815</v>
      </c>
    </row>
    <row r="309" spans="1:19">
      <c r="A309" s="10">
        <v>2014</v>
      </c>
      <c r="B309" s="11" t="s">
        <v>483</v>
      </c>
      <c r="C309" s="11" t="s">
        <v>484</v>
      </c>
      <c r="D309" s="12">
        <v>1015042</v>
      </c>
      <c r="E309" s="12">
        <v>2</v>
      </c>
      <c r="F309" s="12"/>
      <c r="G309" s="12">
        <v>180</v>
      </c>
      <c r="H309" s="12" t="s">
        <v>64</v>
      </c>
      <c r="I309" s="12"/>
      <c r="J309" s="12" t="s">
        <v>361</v>
      </c>
      <c r="K309" s="12" t="b">
        <v>0</v>
      </c>
      <c r="L309" s="12">
        <v>2</v>
      </c>
      <c r="M309" s="8">
        <v>2016</v>
      </c>
      <c r="N309" s="9">
        <v>36136.47</v>
      </c>
      <c r="O309" s="9">
        <v>111439.26</v>
      </c>
      <c r="P309" s="9">
        <v>100000</v>
      </c>
      <c r="Q309" s="9">
        <v>63955.86</v>
      </c>
      <c r="R309" s="13">
        <v>41815</v>
      </c>
      <c r="S309" s="13">
        <v>41815</v>
      </c>
    </row>
    <row r="310" spans="1:19">
      <c r="A310" s="10">
        <v>2014</v>
      </c>
      <c r="B310" s="11" t="s">
        <v>483</v>
      </c>
      <c r="C310" s="11" t="s">
        <v>484</v>
      </c>
      <c r="D310" s="12">
        <v>1015042</v>
      </c>
      <c r="E310" s="12">
        <v>2</v>
      </c>
      <c r="F310" s="12"/>
      <c r="G310" s="12">
        <v>180</v>
      </c>
      <c r="H310" s="12" t="s">
        <v>64</v>
      </c>
      <c r="I310" s="12"/>
      <c r="J310" s="12" t="s">
        <v>361</v>
      </c>
      <c r="K310" s="12" t="b">
        <v>0</v>
      </c>
      <c r="L310" s="12">
        <v>1</v>
      </c>
      <c r="M310" s="8">
        <v>2015</v>
      </c>
      <c r="N310" s="9">
        <v>36136.47</v>
      </c>
      <c r="O310" s="9">
        <v>111439.26</v>
      </c>
      <c r="P310" s="9">
        <v>100000</v>
      </c>
      <c r="Q310" s="9">
        <v>63955.86</v>
      </c>
      <c r="R310" s="13">
        <v>41815</v>
      </c>
      <c r="S310" s="13">
        <v>41815</v>
      </c>
    </row>
    <row r="311" spans="1:19">
      <c r="A311" s="10">
        <v>2014</v>
      </c>
      <c r="B311" s="11" t="s">
        <v>483</v>
      </c>
      <c r="C311" s="11" t="s">
        <v>484</v>
      </c>
      <c r="D311" s="12">
        <v>1015042</v>
      </c>
      <c r="E311" s="12">
        <v>2</v>
      </c>
      <c r="F311" s="12"/>
      <c r="G311" s="12">
        <v>180</v>
      </c>
      <c r="H311" s="12" t="s">
        <v>64</v>
      </c>
      <c r="I311" s="12"/>
      <c r="J311" s="12" t="s">
        <v>361</v>
      </c>
      <c r="K311" s="12" t="b">
        <v>0</v>
      </c>
      <c r="L311" s="12">
        <v>7</v>
      </c>
      <c r="M311" s="8">
        <v>2021</v>
      </c>
      <c r="N311" s="9">
        <v>36136.47</v>
      </c>
      <c r="O311" s="9">
        <v>111439.26</v>
      </c>
      <c r="P311" s="9">
        <v>100000</v>
      </c>
      <c r="Q311" s="9">
        <v>63955.86</v>
      </c>
      <c r="R311" s="13">
        <v>41815</v>
      </c>
      <c r="S311" s="13">
        <v>41815</v>
      </c>
    </row>
    <row r="312" spans="1:19">
      <c r="A312" s="10">
        <v>2014</v>
      </c>
      <c r="B312" s="11" t="s">
        <v>483</v>
      </c>
      <c r="C312" s="11" t="s">
        <v>484</v>
      </c>
      <c r="D312" s="12">
        <v>1015042</v>
      </c>
      <c r="E312" s="12">
        <v>2</v>
      </c>
      <c r="F312" s="12"/>
      <c r="G312" s="12">
        <v>180</v>
      </c>
      <c r="H312" s="12" t="s">
        <v>64</v>
      </c>
      <c r="I312" s="12"/>
      <c r="J312" s="12" t="s">
        <v>361</v>
      </c>
      <c r="K312" s="12" t="b">
        <v>0</v>
      </c>
      <c r="L312" s="12">
        <v>0</v>
      </c>
      <c r="M312" s="8">
        <v>2014</v>
      </c>
      <c r="N312" s="9">
        <v>36136.47</v>
      </c>
      <c r="O312" s="9">
        <v>111439.26</v>
      </c>
      <c r="P312" s="9">
        <v>100000</v>
      </c>
      <c r="Q312" s="9">
        <v>63955.86</v>
      </c>
      <c r="R312" s="13">
        <v>41815</v>
      </c>
      <c r="S312" s="13">
        <v>41815</v>
      </c>
    </row>
    <row r="313" spans="1:19">
      <c r="A313" s="10">
        <v>2014</v>
      </c>
      <c r="B313" s="11" t="s">
        <v>483</v>
      </c>
      <c r="C313" s="11" t="s">
        <v>484</v>
      </c>
      <c r="D313" s="12">
        <v>1015042</v>
      </c>
      <c r="E313" s="12">
        <v>2</v>
      </c>
      <c r="F313" s="12"/>
      <c r="G313" s="12">
        <v>180</v>
      </c>
      <c r="H313" s="12" t="s">
        <v>64</v>
      </c>
      <c r="I313" s="12"/>
      <c r="J313" s="12" t="s">
        <v>361</v>
      </c>
      <c r="K313" s="12" t="b">
        <v>0</v>
      </c>
      <c r="L313" s="12">
        <v>4</v>
      </c>
      <c r="M313" s="8">
        <v>2018</v>
      </c>
      <c r="N313" s="9">
        <v>36136.47</v>
      </c>
      <c r="O313" s="9">
        <v>111439.26</v>
      </c>
      <c r="P313" s="9">
        <v>100000</v>
      </c>
      <c r="Q313" s="9">
        <v>63955.86</v>
      </c>
      <c r="R313" s="13">
        <v>41815</v>
      </c>
      <c r="S313" s="13">
        <v>41815</v>
      </c>
    </row>
    <row r="314" spans="1:19">
      <c r="A314" s="10">
        <v>2014</v>
      </c>
      <c r="B314" s="11" t="s">
        <v>483</v>
      </c>
      <c r="C314" s="11" t="s">
        <v>484</v>
      </c>
      <c r="D314" s="12">
        <v>1015042</v>
      </c>
      <c r="E314" s="12">
        <v>2</v>
      </c>
      <c r="F314" s="12"/>
      <c r="G314" s="12">
        <v>180</v>
      </c>
      <c r="H314" s="12" t="s">
        <v>64</v>
      </c>
      <c r="I314" s="12"/>
      <c r="J314" s="12" t="s">
        <v>361</v>
      </c>
      <c r="K314" s="12" t="b">
        <v>0</v>
      </c>
      <c r="L314" s="12">
        <v>5</v>
      </c>
      <c r="M314" s="8">
        <v>2019</v>
      </c>
      <c r="N314" s="9">
        <v>36136.47</v>
      </c>
      <c r="O314" s="9">
        <v>111439.26</v>
      </c>
      <c r="P314" s="9">
        <v>100000</v>
      </c>
      <c r="Q314" s="9">
        <v>63955.86</v>
      </c>
      <c r="R314" s="13">
        <v>41815</v>
      </c>
      <c r="S314" s="13">
        <v>41815</v>
      </c>
    </row>
    <row r="315" spans="1:19">
      <c r="A315" s="10">
        <v>2014</v>
      </c>
      <c r="B315" s="11" t="s">
        <v>483</v>
      </c>
      <c r="C315" s="11" t="s">
        <v>484</v>
      </c>
      <c r="D315" s="12">
        <v>1015042</v>
      </c>
      <c r="E315" s="12">
        <v>2</v>
      </c>
      <c r="F315" s="12"/>
      <c r="G315" s="12">
        <v>180</v>
      </c>
      <c r="H315" s="12" t="s">
        <v>64</v>
      </c>
      <c r="I315" s="12"/>
      <c r="J315" s="12" t="s">
        <v>361</v>
      </c>
      <c r="K315" s="12" t="b">
        <v>0</v>
      </c>
      <c r="L315" s="12">
        <v>6</v>
      </c>
      <c r="M315" s="8">
        <v>2020</v>
      </c>
      <c r="N315" s="9">
        <v>36136.47</v>
      </c>
      <c r="O315" s="9">
        <v>111439.26</v>
      </c>
      <c r="P315" s="9">
        <v>100000</v>
      </c>
      <c r="Q315" s="9">
        <v>63955.86</v>
      </c>
      <c r="R315" s="13">
        <v>41815</v>
      </c>
      <c r="S315" s="13">
        <v>41815</v>
      </c>
    </row>
    <row r="316" spans="1:19">
      <c r="A316" s="10">
        <v>2014</v>
      </c>
      <c r="B316" s="11" t="s">
        <v>483</v>
      </c>
      <c r="C316" s="11" t="s">
        <v>484</v>
      </c>
      <c r="D316" s="12">
        <v>1015042</v>
      </c>
      <c r="E316" s="12">
        <v>2</v>
      </c>
      <c r="F316" s="12"/>
      <c r="G316" s="12">
        <v>50</v>
      </c>
      <c r="H316" s="12" t="s">
        <v>45</v>
      </c>
      <c r="I316" s="12"/>
      <c r="J316" s="12" t="s">
        <v>46</v>
      </c>
      <c r="K316" s="12" t="b">
        <v>1</v>
      </c>
      <c r="L316" s="12">
        <v>6</v>
      </c>
      <c r="M316" s="8">
        <v>2020</v>
      </c>
      <c r="N316" s="9">
        <v>1818324.96</v>
      </c>
      <c r="O316" s="9">
        <v>1971446.08</v>
      </c>
      <c r="P316" s="9">
        <v>2079747</v>
      </c>
      <c r="Q316" s="9">
        <v>2073978.77</v>
      </c>
      <c r="R316" s="13">
        <v>41815</v>
      </c>
      <c r="S316" s="13">
        <v>41815</v>
      </c>
    </row>
    <row r="317" spans="1:19">
      <c r="A317" s="10">
        <v>2014</v>
      </c>
      <c r="B317" s="11" t="s">
        <v>483</v>
      </c>
      <c r="C317" s="11" t="s">
        <v>484</v>
      </c>
      <c r="D317" s="12">
        <v>1015042</v>
      </c>
      <c r="E317" s="12">
        <v>2</v>
      </c>
      <c r="F317" s="12"/>
      <c r="G317" s="12">
        <v>50</v>
      </c>
      <c r="H317" s="12" t="s">
        <v>45</v>
      </c>
      <c r="I317" s="12"/>
      <c r="J317" s="12" t="s">
        <v>46</v>
      </c>
      <c r="K317" s="12" t="b">
        <v>1</v>
      </c>
      <c r="L317" s="12">
        <v>3</v>
      </c>
      <c r="M317" s="8">
        <v>2017</v>
      </c>
      <c r="N317" s="9">
        <v>1818324.96</v>
      </c>
      <c r="O317" s="9">
        <v>1971446.08</v>
      </c>
      <c r="P317" s="9">
        <v>2079747</v>
      </c>
      <c r="Q317" s="9">
        <v>2073978.77</v>
      </c>
      <c r="R317" s="13">
        <v>41815</v>
      </c>
      <c r="S317" s="13">
        <v>41815</v>
      </c>
    </row>
    <row r="318" spans="1:19">
      <c r="A318" s="10">
        <v>2014</v>
      </c>
      <c r="B318" s="11" t="s">
        <v>483</v>
      </c>
      <c r="C318" s="11" t="s">
        <v>484</v>
      </c>
      <c r="D318" s="12">
        <v>1015042</v>
      </c>
      <c r="E318" s="12">
        <v>2</v>
      </c>
      <c r="F318" s="12"/>
      <c r="G318" s="12">
        <v>50</v>
      </c>
      <c r="H318" s="12" t="s">
        <v>45</v>
      </c>
      <c r="I318" s="12"/>
      <c r="J318" s="12" t="s">
        <v>46</v>
      </c>
      <c r="K318" s="12" t="b">
        <v>1</v>
      </c>
      <c r="L318" s="12">
        <v>0</v>
      </c>
      <c r="M318" s="8">
        <v>2014</v>
      </c>
      <c r="N318" s="9">
        <v>1818324.96</v>
      </c>
      <c r="O318" s="9">
        <v>1971446.08</v>
      </c>
      <c r="P318" s="9">
        <v>2079747</v>
      </c>
      <c r="Q318" s="9">
        <v>2073978.77</v>
      </c>
      <c r="R318" s="13">
        <v>41815</v>
      </c>
      <c r="S318" s="13">
        <v>41815</v>
      </c>
    </row>
    <row r="319" spans="1:19">
      <c r="A319" s="10">
        <v>2014</v>
      </c>
      <c r="B319" s="11" t="s">
        <v>483</v>
      </c>
      <c r="C319" s="11" t="s">
        <v>484</v>
      </c>
      <c r="D319" s="12">
        <v>1015042</v>
      </c>
      <c r="E319" s="12">
        <v>2</v>
      </c>
      <c r="F319" s="12"/>
      <c r="G319" s="12">
        <v>50</v>
      </c>
      <c r="H319" s="12" t="s">
        <v>45</v>
      </c>
      <c r="I319" s="12"/>
      <c r="J319" s="12" t="s">
        <v>46</v>
      </c>
      <c r="K319" s="12" t="b">
        <v>1</v>
      </c>
      <c r="L319" s="12">
        <v>2</v>
      </c>
      <c r="M319" s="8">
        <v>2016</v>
      </c>
      <c r="N319" s="9">
        <v>1818324.96</v>
      </c>
      <c r="O319" s="9">
        <v>1971446.08</v>
      </c>
      <c r="P319" s="9">
        <v>2079747</v>
      </c>
      <c r="Q319" s="9">
        <v>2073978.77</v>
      </c>
      <c r="R319" s="13">
        <v>41815</v>
      </c>
      <c r="S319" s="13">
        <v>41815</v>
      </c>
    </row>
    <row r="320" spans="1:19">
      <c r="A320" s="10">
        <v>2014</v>
      </c>
      <c r="B320" s="11" t="s">
        <v>483</v>
      </c>
      <c r="C320" s="11" t="s">
        <v>484</v>
      </c>
      <c r="D320" s="12">
        <v>1015042</v>
      </c>
      <c r="E320" s="12">
        <v>2</v>
      </c>
      <c r="F320" s="12"/>
      <c r="G320" s="12">
        <v>50</v>
      </c>
      <c r="H320" s="12" t="s">
        <v>45</v>
      </c>
      <c r="I320" s="12"/>
      <c r="J320" s="12" t="s">
        <v>46</v>
      </c>
      <c r="K320" s="12" t="b">
        <v>1</v>
      </c>
      <c r="L320" s="12">
        <v>7</v>
      </c>
      <c r="M320" s="8">
        <v>2021</v>
      </c>
      <c r="N320" s="9">
        <v>1818324.96</v>
      </c>
      <c r="O320" s="9">
        <v>1971446.08</v>
      </c>
      <c r="P320" s="9">
        <v>2079747</v>
      </c>
      <c r="Q320" s="9">
        <v>2073978.77</v>
      </c>
      <c r="R320" s="13">
        <v>41815</v>
      </c>
      <c r="S320" s="13">
        <v>41815</v>
      </c>
    </row>
    <row r="321" spans="1:19">
      <c r="A321" s="10">
        <v>2014</v>
      </c>
      <c r="B321" s="11" t="s">
        <v>483</v>
      </c>
      <c r="C321" s="11" t="s">
        <v>484</v>
      </c>
      <c r="D321" s="12">
        <v>1015042</v>
      </c>
      <c r="E321" s="12">
        <v>2</v>
      </c>
      <c r="F321" s="12"/>
      <c r="G321" s="12">
        <v>50</v>
      </c>
      <c r="H321" s="12" t="s">
        <v>45</v>
      </c>
      <c r="I321" s="12"/>
      <c r="J321" s="12" t="s">
        <v>46</v>
      </c>
      <c r="K321" s="12" t="b">
        <v>1</v>
      </c>
      <c r="L321" s="12">
        <v>5</v>
      </c>
      <c r="M321" s="8">
        <v>2019</v>
      </c>
      <c r="N321" s="9">
        <v>1818324.96</v>
      </c>
      <c r="O321" s="9">
        <v>1971446.08</v>
      </c>
      <c r="P321" s="9">
        <v>2079747</v>
      </c>
      <c r="Q321" s="9">
        <v>2073978.77</v>
      </c>
      <c r="R321" s="13">
        <v>41815</v>
      </c>
      <c r="S321" s="13">
        <v>41815</v>
      </c>
    </row>
    <row r="322" spans="1:19">
      <c r="A322" s="10">
        <v>2014</v>
      </c>
      <c r="B322" s="11" t="s">
        <v>483</v>
      </c>
      <c r="C322" s="11" t="s">
        <v>484</v>
      </c>
      <c r="D322" s="12">
        <v>1015042</v>
      </c>
      <c r="E322" s="12">
        <v>2</v>
      </c>
      <c r="F322" s="12"/>
      <c r="G322" s="12">
        <v>50</v>
      </c>
      <c r="H322" s="12" t="s">
        <v>45</v>
      </c>
      <c r="I322" s="12"/>
      <c r="J322" s="12" t="s">
        <v>46</v>
      </c>
      <c r="K322" s="12" t="b">
        <v>1</v>
      </c>
      <c r="L322" s="12">
        <v>4</v>
      </c>
      <c r="M322" s="8">
        <v>2018</v>
      </c>
      <c r="N322" s="9">
        <v>1818324.96</v>
      </c>
      <c r="O322" s="9">
        <v>1971446.08</v>
      </c>
      <c r="P322" s="9">
        <v>2079747</v>
      </c>
      <c r="Q322" s="9">
        <v>2073978.77</v>
      </c>
      <c r="R322" s="13">
        <v>41815</v>
      </c>
      <c r="S322" s="13">
        <v>41815</v>
      </c>
    </row>
    <row r="323" spans="1:19">
      <c r="A323" s="10">
        <v>2014</v>
      </c>
      <c r="B323" s="11" t="s">
        <v>483</v>
      </c>
      <c r="C323" s="11" t="s">
        <v>484</v>
      </c>
      <c r="D323" s="12">
        <v>1015042</v>
      </c>
      <c r="E323" s="12">
        <v>2</v>
      </c>
      <c r="F323" s="12"/>
      <c r="G323" s="12">
        <v>50</v>
      </c>
      <c r="H323" s="12" t="s">
        <v>45</v>
      </c>
      <c r="I323" s="12"/>
      <c r="J323" s="12" t="s">
        <v>46</v>
      </c>
      <c r="K323" s="12" t="b">
        <v>1</v>
      </c>
      <c r="L323" s="12">
        <v>8</v>
      </c>
      <c r="M323" s="8">
        <v>2022</v>
      </c>
      <c r="N323" s="9">
        <v>1818324.96</v>
      </c>
      <c r="O323" s="9">
        <v>1971446.08</v>
      </c>
      <c r="P323" s="9">
        <v>2079747</v>
      </c>
      <c r="Q323" s="9">
        <v>2073978.77</v>
      </c>
      <c r="R323" s="13">
        <v>41815</v>
      </c>
      <c r="S323" s="13">
        <v>41815</v>
      </c>
    </row>
    <row r="324" spans="1:19">
      <c r="A324" s="10">
        <v>2014</v>
      </c>
      <c r="B324" s="11" t="s">
        <v>483</v>
      </c>
      <c r="C324" s="11" t="s">
        <v>484</v>
      </c>
      <c r="D324" s="12">
        <v>1015042</v>
      </c>
      <c r="E324" s="12">
        <v>2</v>
      </c>
      <c r="F324" s="12"/>
      <c r="G324" s="12">
        <v>50</v>
      </c>
      <c r="H324" s="12" t="s">
        <v>45</v>
      </c>
      <c r="I324" s="12"/>
      <c r="J324" s="12" t="s">
        <v>46</v>
      </c>
      <c r="K324" s="12" t="b">
        <v>1</v>
      </c>
      <c r="L324" s="12">
        <v>1</v>
      </c>
      <c r="M324" s="8">
        <v>2015</v>
      </c>
      <c r="N324" s="9">
        <v>1818324.96</v>
      </c>
      <c r="O324" s="9">
        <v>1971446.08</v>
      </c>
      <c r="P324" s="9">
        <v>2079747</v>
      </c>
      <c r="Q324" s="9">
        <v>2073978.77</v>
      </c>
      <c r="R324" s="13">
        <v>41815</v>
      </c>
      <c r="S324" s="13">
        <v>41815</v>
      </c>
    </row>
    <row r="325" spans="1:19">
      <c r="A325" s="10">
        <v>2014</v>
      </c>
      <c r="B325" s="11" t="s">
        <v>483</v>
      </c>
      <c r="C325" s="11" t="s">
        <v>484</v>
      </c>
      <c r="D325" s="12">
        <v>1015042</v>
      </c>
      <c r="E325" s="12">
        <v>2</v>
      </c>
      <c r="F325" s="12"/>
      <c r="G325" s="12">
        <v>690</v>
      </c>
      <c r="H325" s="12" t="s">
        <v>101</v>
      </c>
      <c r="I325" s="12"/>
      <c r="J325" s="12" t="s">
        <v>102</v>
      </c>
      <c r="K325" s="12" t="b">
        <v>1</v>
      </c>
      <c r="L325" s="12">
        <v>4</v>
      </c>
      <c r="M325" s="8">
        <v>2018</v>
      </c>
      <c r="N325" s="9">
        <v>176014.17</v>
      </c>
      <c r="O325" s="9">
        <v>25500</v>
      </c>
      <c r="P325" s="9">
        <v>0</v>
      </c>
      <c r="Q325" s="9">
        <v>0</v>
      </c>
      <c r="R325" s="13">
        <v>41815</v>
      </c>
      <c r="S325" s="13">
        <v>41815</v>
      </c>
    </row>
    <row r="326" spans="1:19">
      <c r="A326" s="10">
        <v>2014</v>
      </c>
      <c r="B326" s="11" t="s">
        <v>483</v>
      </c>
      <c r="C326" s="11" t="s">
        <v>484</v>
      </c>
      <c r="D326" s="12">
        <v>1015042</v>
      </c>
      <c r="E326" s="12">
        <v>2</v>
      </c>
      <c r="F326" s="12"/>
      <c r="G326" s="12">
        <v>690</v>
      </c>
      <c r="H326" s="12" t="s">
        <v>101</v>
      </c>
      <c r="I326" s="12"/>
      <c r="J326" s="12" t="s">
        <v>102</v>
      </c>
      <c r="K326" s="12" t="b">
        <v>1</v>
      </c>
      <c r="L326" s="12">
        <v>8</v>
      </c>
      <c r="M326" s="8">
        <v>2022</v>
      </c>
      <c r="N326" s="9">
        <v>176014.17</v>
      </c>
      <c r="O326" s="9">
        <v>25500</v>
      </c>
      <c r="P326" s="9">
        <v>0</v>
      </c>
      <c r="Q326" s="9">
        <v>0</v>
      </c>
      <c r="R326" s="13">
        <v>41815</v>
      </c>
      <c r="S326" s="13">
        <v>41815</v>
      </c>
    </row>
    <row r="327" spans="1:19">
      <c r="A327" s="10">
        <v>2014</v>
      </c>
      <c r="B327" s="11" t="s">
        <v>483</v>
      </c>
      <c r="C327" s="11" t="s">
        <v>484</v>
      </c>
      <c r="D327" s="12">
        <v>1015042</v>
      </c>
      <c r="E327" s="12">
        <v>2</v>
      </c>
      <c r="F327" s="12"/>
      <c r="G327" s="12">
        <v>690</v>
      </c>
      <c r="H327" s="12" t="s">
        <v>101</v>
      </c>
      <c r="I327" s="12"/>
      <c r="J327" s="12" t="s">
        <v>102</v>
      </c>
      <c r="K327" s="12" t="b">
        <v>1</v>
      </c>
      <c r="L327" s="12">
        <v>7</v>
      </c>
      <c r="M327" s="8">
        <v>2021</v>
      </c>
      <c r="N327" s="9">
        <v>176014.17</v>
      </c>
      <c r="O327" s="9">
        <v>25500</v>
      </c>
      <c r="P327" s="9">
        <v>0</v>
      </c>
      <c r="Q327" s="9">
        <v>0</v>
      </c>
      <c r="R327" s="13">
        <v>41815</v>
      </c>
      <c r="S327" s="13">
        <v>41815</v>
      </c>
    </row>
    <row r="328" spans="1:19">
      <c r="A328" s="10">
        <v>2014</v>
      </c>
      <c r="B328" s="11" t="s">
        <v>483</v>
      </c>
      <c r="C328" s="11" t="s">
        <v>484</v>
      </c>
      <c r="D328" s="12">
        <v>1015042</v>
      </c>
      <c r="E328" s="12">
        <v>2</v>
      </c>
      <c r="F328" s="12"/>
      <c r="G328" s="12">
        <v>690</v>
      </c>
      <c r="H328" s="12" t="s">
        <v>101</v>
      </c>
      <c r="I328" s="12"/>
      <c r="J328" s="12" t="s">
        <v>102</v>
      </c>
      <c r="K328" s="12" t="b">
        <v>1</v>
      </c>
      <c r="L328" s="12">
        <v>6</v>
      </c>
      <c r="M328" s="8">
        <v>2020</v>
      </c>
      <c r="N328" s="9">
        <v>176014.17</v>
      </c>
      <c r="O328" s="9">
        <v>25500</v>
      </c>
      <c r="P328" s="9">
        <v>0</v>
      </c>
      <c r="Q328" s="9">
        <v>0</v>
      </c>
      <c r="R328" s="13">
        <v>41815</v>
      </c>
      <c r="S328" s="13">
        <v>41815</v>
      </c>
    </row>
    <row r="329" spans="1:19">
      <c r="A329" s="10">
        <v>2014</v>
      </c>
      <c r="B329" s="11" t="s">
        <v>483</v>
      </c>
      <c r="C329" s="11" t="s">
        <v>484</v>
      </c>
      <c r="D329" s="12">
        <v>1015042</v>
      </c>
      <c r="E329" s="12">
        <v>2</v>
      </c>
      <c r="F329" s="12"/>
      <c r="G329" s="12">
        <v>690</v>
      </c>
      <c r="H329" s="12" t="s">
        <v>101</v>
      </c>
      <c r="I329" s="12"/>
      <c r="J329" s="12" t="s">
        <v>102</v>
      </c>
      <c r="K329" s="12" t="b">
        <v>1</v>
      </c>
      <c r="L329" s="12">
        <v>3</v>
      </c>
      <c r="M329" s="8">
        <v>2017</v>
      </c>
      <c r="N329" s="9">
        <v>176014.17</v>
      </c>
      <c r="O329" s="9">
        <v>25500</v>
      </c>
      <c r="P329" s="9">
        <v>0</v>
      </c>
      <c r="Q329" s="9">
        <v>0</v>
      </c>
      <c r="R329" s="13">
        <v>41815</v>
      </c>
      <c r="S329" s="13">
        <v>41815</v>
      </c>
    </row>
    <row r="330" spans="1:19">
      <c r="A330" s="10">
        <v>2014</v>
      </c>
      <c r="B330" s="11" t="s">
        <v>483</v>
      </c>
      <c r="C330" s="11" t="s">
        <v>484</v>
      </c>
      <c r="D330" s="12">
        <v>1015042</v>
      </c>
      <c r="E330" s="12">
        <v>2</v>
      </c>
      <c r="F330" s="12"/>
      <c r="G330" s="12">
        <v>690</v>
      </c>
      <c r="H330" s="12" t="s">
        <v>101</v>
      </c>
      <c r="I330" s="12"/>
      <c r="J330" s="12" t="s">
        <v>102</v>
      </c>
      <c r="K330" s="12" t="b">
        <v>1</v>
      </c>
      <c r="L330" s="12">
        <v>0</v>
      </c>
      <c r="M330" s="8">
        <v>2014</v>
      </c>
      <c r="N330" s="9">
        <v>176014.17</v>
      </c>
      <c r="O330" s="9">
        <v>25500</v>
      </c>
      <c r="P330" s="9">
        <v>0</v>
      </c>
      <c r="Q330" s="9">
        <v>0</v>
      </c>
      <c r="R330" s="13">
        <v>41815</v>
      </c>
      <c r="S330" s="13">
        <v>41815</v>
      </c>
    </row>
    <row r="331" spans="1:19">
      <c r="A331" s="10">
        <v>2014</v>
      </c>
      <c r="B331" s="11" t="s">
        <v>483</v>
      </c>
      <c r="C331" s="11" t="s">
        <v>484</v>
      </c>
      <c r="D331" s="12">
        <v>1015042</v>
      </c>
      <c r="E331" s="12">
        <v>2</v>
      </c>
      <c r="F331" s="12"/>
      <c r="G331" s="12">
        <v>690</v>
      </c>
      <c r="H331" s="12" t="s">
        <v>101</v>
      </c>
      <c r="I331" s="12"/>
      <c r="J331" s="12" t="s">
        <v>102</v>
      </c>
      <c r="K331" s="12" t="b">
        <v>1</v>
      </c>
      <c r="L331" s="12">
        <v>1</v>
      </c>
      <c r="M331" s="8">
        <v>2015</v>
      </c>
      <c r="N331" s="9">
        <v>176014.17</v>
      </c>
      <c r="O331" s="9">
        <v>25500</v>
      </c>
      <c r="P331" s="9">
        <v>0</v>
      </c>
      <c r="Q331" s="9">
        <v>0</v>
      </c>
      <c r="R331" s="13">
        <v>41815</v>
      </c>
      <c r="S331" s="13">
        <v>41815</v>
      </c>
    </row>
    <row r="332" spans="1:19">
      <c r="A332" s="10">
        <v>2014</v>
      </c>
      <c r="B332" s="11" t="s">
        <v>483</v>
      </c>
      <c r="C332" s="11" t="s">
        <v>484</v>
      </c>
      <c r="D332" s="12">
        <v>1015042</v>
      </c>
      <c r="E332" s="12">
        <v>2</v>
      </c>
      <c r="F332" s="12"/>
      <c r="G332" s="12">
        <v>690</v>
      </c>
      <c r="H332" s="12" t="s">
        <v>101</v>
      </c>
      <c r="I332" s="12"/>
      <c r="J332" s="12" t="s">
        <v>102</v>
      </c>
      <c r="K332" s="12" t="b">
        <v>1</v>
      </c>
      <c r="L332" s="12">
        <v>2</v>
      </c>
      <c r="M332" s="8">
        <v>2016</v>
      </c>
      <c r="N332" s="9">
        <v>176014.17</v>
      </c>
      <c r="O332" s="9">
        <v>25500</v>
      </c>
      <c r="P332" s="9">
        <v>0</v>
      </c>
      <c r="Q332" s="9">
        <v>0</v>
      </c>
      <c r="R332" s="13">
        <v>41815</v>
      </c>
      <c r="S332" s="13">
        <v>41815</v>
      </c>
    </row>
    <row r="333" spans="1:19">
      <c r="A333" s="10">
        <v>2014</v>
      </c>
      <c r="B333" s="11" t="s">
        <v>483</v>
      </c>
      <c r="C333" s="11" t="s">
        <v>484</v>
      </c>
      <c r="D333" s="12">
        <v>1015042</v>
      </c>
      <c r="E333" s="12">
        <v>2</v>
      </c>
      <c r="F333" s="12"/>
      <c r="G333" s="12">
        <v>690</v>
      </c>
      <c r="H333" s="12" t="s">
        <v>101</v>
      </c>
      <c r="I333" s="12"/>
      <c r="J333" s="12" t="s">
        <v>102</v>
      </c>
      <c r="K333" s="12" t="b">
        <v>1</v>
      </c>
      <c r="L333" s="12">
        <v>5</v>
      </c>
      <c r="M333" s="8">
        <v>2019</v>
      </c>
      <c r="N333" s="9">
        <v>176014.17</v>
      </c>
      <c r="O333" s="9">
        <v>25500</v>
      </c>
      <c r="P333" s="9">
        <v>0</v>
      </c>
      <c r="Q333" s="9">
        <v>0</v>
      </c>
      <c r="R333" s="13">
        <v>41815</v>
      </c>
      <c r="S333" s="13">
        <v>41815</v>
      </c>
    </row>
    <row r="334" spans="1:19">
      <c r="A334" s="10">
        <v>2014</v>
      </c>
      <c r="B334" s="11" t="s">
        <v>483</v>
      </c>
      <c r="C334" s="11" t="s">
        <v>484</v>
      </c>
      <c r="D334" s="12">
        <v>1015042</v>
      </c>
      <c r="E334" s="12">
        <v>2</v>
      </c>
      <c r="F334" s="12"/>
      <c r="G334" s="12">
        <v>670</v>
      </c>
      <c r="H334" s="12">
        <v>12.1</v>
      </c>
      <c r="I334" s="12"/>
      <c r="J334" s="12" t="s">
        <v>98</v>
      </c>
      <c r="K334" s="12" t="b">
        <v>1</v>
      </c>
      <c r="L334" s="12">
        <v>7</v>
      </c>
      <c r="M334" s="8">
        <v>2021</v>
      </c>
      <c r="N334" s="9">
        <v>208248.55</v>
      </c>
      <c r="O334" s="9">
        <v>28515</v>
      </c>
      <c r="P334" s="9">
        <v>1485</v>
      </c>
      <c r="Q334" s="9">
        <v>1485</v>
      </c>
      <c r="R334" s="13">
        <v>41815</v>
      </c>
      <c r="S334" s="13">
        <v>41815</v>
      </c>
    </row>
    <row r="335" spans="1:19">
      <c r="A335" s="10">
        <v>2014</v>
      </c>
      <c r="B335" s="11" t="s">
        <v>483</v>
      </c>
      <c r="C335" s="11" t="s">
        <v>484</v>
      </c>
      <c r="D335" s="12">
        <v>1015042</v>
      </c>
      <c r="E335" s="12">
        <v>2</v>
      </c>
      <c r="F335" s="12"/>
      <c r="G335" s="12">
        <v>670</v>
      </c>
      <c r="H335" s="12">
        <v>12.1</v>
      </c>
      <c r="I335" s="12"/>
      <c r="J335" s="12" t="s">
        <v>98</v>
      </c>
      <c r="K335" s="12" t="b">
        <v>1</v>
      </c>
      <c r="L335" s="12">
        <v>3</v>
      </c>
      <c r="M335" s="8">
        <v>2017</v>
      </c>
      <c r="N335" s="9">
        <v>208248.55</v>
      </c>
      <c r="O335" s="9">
        <v>28515</v>
      </c>
      <c r="P335" s="9">
        <v>1485</v>
      </c>
      <c r="Q335" s="9">
        <v>1485</v>
      </c>
      <c r="R335" s="13">
        <v>41815</v>
      </c>
      <c r="S335" s="13">
        <v>41815</v>
      </c>
    </row>
    <row r="336" spans="1:19">
      <c r="A336" s="10">
        <v>2014</v>
      </c>
      <c r="B336" s="11" t="s">
        <v>483</v>
      </c>
      <c r="C336" s="11" t="s">
        <v>484</v>
      </c>
      <c r="D336" s="12">
        <v>1015042</v>
      </c>
      <c r="E336" s="12">
        <v>2</v>
      </c>
      <c r="F336" s="12"/>
      <c r="G336" s="12">
        <v>670</v>
      </c>
      <c r="H336" s="12">
        <v>12.1</v>
      </c>
      <c r="I336" s="12"/>
      <c r="J336" s="12" t="s">
        <v>98</v>
      </c>
      <c r="K336" s="12" t="b">
        <v>1</v>
      </c>
      <c r="L336" s="12">
        <v>0</v>
      </c>
      <c r="M336" s="8">
        <v>2014</v>
      </c>
      <c r="N336" s="9">
        <v>208248.55</v>
      </c>
      <c r="O336" s="9">
        <v>28515</v>
      </c>
      <c r="P336" s="9">
        <v>1485</v>
      </c>
      <c r="Q336" s="9">
        <v>1485</v>
      </c>
      <c r="R336" s="13">
        <v>41815</v>
      </c>
      <c r="S336" s="13">
        <v>41815</v>
      </c>
    </row>
    <row r="337" spans="1:19">
      <c r="A337" s="10">
        <v>2014</v>
      </c>
      <c r="B337" s="11" t="s">
        <v>483</v>
      </c>
      <c r="C337" s="11" t="s">
        <v>484</v>
      </c>
      <c r="D337" s="12">
        <v>1015042</v>
      </c>
      <c r="E337" s="12">
        <v>2</v>
      </c>
      <c r="F337" s="12"/>
      <c r="G337" s="12">
        <v>670</v>
      </c>
      <c r="H337" s="12">
        <v>12.1</v>
      </c>
      <c r="I337" s="12"/>
      <c r="J337" s="12" t="s">
        <v>98</v>
      </c>
      <c r="K337" s="12" t="b">
        <v>1</v>
      </c>
      <c r="L337" s="12">
        <v>1</v>
      </c>
      <c r="M337" s="8">
        <v>2015</v>
      </c>
      <c r="N337" s="9">
        <v>208248.55</v>
      </c>
      <c r="O337" s="9">
        <v>28515</v>
      </c>
      <c r="P337" s="9">
        <v>1485</v>
      </c>
      <c r="Q337" s="9">
        <v>1485</v>
      </c>
      <c r="R337" s="13">
        <v>41815</v>
      </c>
      <c r="S337" s="13">
        <v>41815</v>
      </c>
    </row>
    <row r="338" spans="1:19">
      <c r="A338" s="10">
        <v>2014</v>
      </c>
      <c r="B338" s="11" t="s">
        <v>483</v>
      </c>
      <c r="C338" s="11" t="s">
        <v>484</v>
      </c>
      <c r="D338" s="12">
        <v>1015042</v>
      </c>
      <c r="E338" s="12">
        <v>2</v>
      </c>
      <c r="F338" s="12"/>
      <c r="G338" s="12">
        <v>670</v>
      </c>
      <c r="H338" s="12">
        <v>12.1</v>
      </c>
      <c r="I338" s="12"/>
      <c r="J338" s="12" t="s">
        <v>98</v>
      </c>
      <c r="K338" s="12" t="b">
        <v>1</v>
      </c>
      <c r="L338" s="12">
        <v>6</v>
      </c>
      <c r="M338" s="8">
        <v>2020</v>
      </c>
      <c r="N338" s="9">
        <v>208248.55</v>
      </c>
      <c r="O338" s="9">
        <v>28515</v>
      </c>
      <c r="P338" s="9">
        <v>1485</v>
      </c>
      <c r="Q338" s="9">
        <v>1485</v>
      </c>
      <c r="R338" s="13">
        <v>41815</v>
      </c>
      <c r="S338" s="13">
        <v>41815</v>
      </c>
    </row>
    <row r="339" spans="1:19">
      <c r="A339" s="10">
        <v>2014</v>
      </c>
      <c r="B339" s="11" t="s">
        <v>483</v>
      </c>
      <c r="C339" s="11" t="s">
        <v>484</v>
      </c>
      <c r="D339" s="12">
        <v>1015042</v>
      </c>
      <c r="E339" s="12">
        <v>2</v>
      </c>
      <c r="F339" s="12"/>
      <c r="G339" s="12">
        <v>670</v>
      </c>
      <c r="H339" s="12">
        <v>12.1</v>
      </c>
      <c r="I339" s="12"/>
      <c r="J339" s="12" t="s">
        <v>98</v>
      </c>
      <c r="K339" s="12" t="b">
        <v>1</v>
      </c>
      <c r="L339" s="12">
        <v>5</v>
      </c>
      <c r="M339" s="8">
        <v>2019</v>
      </c>
      <c r="N339" s="9">
        <v>208248.55</v>
      </c>
      <c r="O339" s="9">
        <v>28515</v>
      </c>
      <c r="P339" s="9">
        <v>1485</v>
      </c>
      <c r="Q339" s="9">
        <v>1485</v>
      </c>
      <c r="R339" s="13">
        <v>41815</v>
      </c>
      <c r="S339" s="13">
        <v>41815</v>
      </c>
    </row>
    <row r="340" spans="1:19">
      <c r="A340" s="10">
        <v>2014</v>
      </c>
      <c r="B340" s="11" t="s">
        <v>483</v>
      </c>
      <c r="C340" s="11" t="s">
        <v>484</v>
      </c>
      <c r="D340" s="12">
        <v>1015042</v>
      </c>
      <c r="E340" s="12">
        <v>2</v>
      </c>
      <c r="F340" s="12"/>
      <c r="G340" s="12">
        <v>670</v>
      </c>
      <c r="H340" s="12">
        <v>12.1</v>
      </c>
      <c r="I340" s="12"/>
      <c r="J340" s="12" t="s">
        <v>98</v>
      </c>
      <c r="K340" s="12" t="b">
        <v>1</v>
      </c>
      <c r="L340" s="12">
        <v>8</v>
      </c>
      <c r="M340" s="8">
        <v>2022</v>
      </c>
      <c r="N340" s="9">
        <v>208248.55</v>
      </c>
      <c r="O340" s="9">
        <v>28515</v>
      </c>
      <c r="P340" s="9">
        <v>1485</v>
      </c>
      <c r="Q340" s="9">
        <v>1485</v>
      </c>
      <c r="R340" s="13">
        <v>41815</v>
      </c>
      <c r="S340" s="13">
        <v>41815</v>
      </c>
    </row>
    <row r="341" spans="1:19">
      <c r="A341" s="10">
        <v>2014</v>
      </c>
      <c r="B341" s="11" t="s">
        <v>483</v>
      </c>
      <c r="C341" s="11" t="s">
        <v>484</v>
      </c>
      <c r="D341" s="12">
        <v>1015042</v>
      </c>
      <c r="E341" s="12">
        <v>2</v>
      </c>
      <c r="F341" s="12"/>
      <c r="G341" s="12">
        <v>670</v>
      </c>
      <c r="H341" s="12">
        <v>12.1</v>
      </c>
      <c r="I341" s="12"/>
      <c r="J341" s="12" t="s">
        <v>98</v>
      </c>
      <c r="K341" s="12" t="b">
        <v>1</v>
      </c>
      <c r="L341" s="12">
        <v>4</v>
      </c>
      <c r="M341" s="8">
        <v>2018</v>
      </c>
      <c r="N341" s="9">
        <v>208248.55</v>
      </c>
      <c r="O341" s="9">
        <v>28515</v>
      </c>
      <c r="P341" s="9">
        <v>1485</v>
      </c>
      <c r="Q341" s="9">
        <v>1485</v>
      </c>
      <c r="R341" s="13">
        <v>41815</v>
      </c>
      <c r="S341" s="13">
        <v>41815</v>
      </c>
    </row>
    <row r="342" spans="1:19">
      <c r="A342" s="10">
        <v>2014</v>
      </c>
      <c r="B342" s="11" t="s">
        <v>483</v>
      </c>
      <c r="C342" s="11" t="s">
        <v>484</v>
      </c>
      <c r="D342" s="12">
        <v>1015042</v>
      </c>
      <c r="E342" s="12">
        <v>2</v>
      </c>
      <c r="F342" s="12"/>
      <c r="G342" s="12">
        <v>670</v>
      </c>
      <c r="H342" s="12">
        <v>12.1</v>
      </c>
      <c r="I342" s="12"/>
      <c r="J342" s="12" t="s">
        <v>98</v>
      </c>
      <c r="K342" s="12" t="b">
        <v>1</v>
      </c>
      <c r="L342" s="12">
        <v>2</v>
      </c>
      <c r="M342" s="8">
        <v>2016</v>
      </c>
      <c r="N342" s="9">
        <v>208248.55</v>
      </c>
      <c r="O342" s="9">
        <v>28515</v>
      </c>
      <c r="P342" s="9">
        <v>1485</v>
      </c>
      <c r="Q342" s="9">
        <v>1485</v>
      </c>
      <c r="R342" s="13">
        <v>41815</v>
      </c>
      <c r="S342" s="13">
        <v>41815</v>
      </c>
    </row>
    <row r="343" spans="1:19">
      <c r="A343" s="10">
        <v>2014</v>
      </c>
      <c r="B343" s="11" t="s">
        <v>483</v>
      </c>
      <c r="C343" s="11" t="s">
        <v>484</v>
      </c>
      <c r="D343" s="12">
        <v>1015042</v>
      </c>
      <c r="E343" s="12">
        <v>2</v>
      </c>
      <c r="F343" s="12"/>
      <c r="G343" s="12">
        <v>610</v>
      </c>
      <c r="H343" s="12" t="s">
        <v>90</v>
      </c>
      <c r="I343" s="12"/>
      <c r="J343" s="12" t="s">
        <v>91</v>
      </c>
      <c r="K343" s="12" t="b">
        <v>1</v>
      </c>
      <c r="L343" s="12">
        <v>2</v>
      </c>
      <c r="M343" s="8">
        <v>2016</v>
      </c>
      <c r="N343" s="9">
        <v>0</v>
      </c>
      <c r="O343" s="9">
        <v>0</v>
      </c>
      <c r="P343" s="9">
        <v>9900</v>
      </c>
      <c r="Q343" s="9">
        <v>9900</v>
      </c>
      <c r="R343" s="13">
        <v>41815</v>
      </c>
      <c r="S343" s="13">
        <v>41815</v>
      </c>
    </row>
    <row r="344" spans="1:19">
      <c r="A344" s="10">
        <v>2014</v>
      </c>
      <c r="B344" s="11" t="s">
        <v>483</v>
      </c>
      <c r="C344" s="11" t="s">
        <v>484</v>
      </c>
      <c r="D344" s="12">
        <v>1015042</v>
      </c>
      <c r="E344" s="12">
        <v>2</v>
      </c>
      <c r="F344" s="12"/>
      <c r="G344" s="12">
        <v>610</v>
      </c>
      <c r="H344" s="12" t="s">
        <v>90</v>
      </c>
      <c r="I344" s="12"/>
      <c r="J344" s="12" t="s">
        <v>91</v>
      </c>
      <c r="K344" s="12" t="b">
        <v>1</v>
      </c>
      <c r="L344" s="12">
        <v>1</v>
      </c>
      <c r="M344" s="8">
        <v>2015</v>
      </c>
      <c r="N344" s="9">
        <v>0</v>
      </c>
      <c r="O344" s="9">
        <v>0</v>
      </c>
      <c r="P344" s="9">
        <v>9900</v>
      </c>
      <c r="Q344" s="9">
        <v>9900</v>
      </c>
      <c r="R344" s="13">
        <v>41815</v>
      </c>
      <c r="S344" s="13">
        <v>41815</v>
      </c>
    </row>
    <row r="345" spans="1:19">
      <c r="A345" s="10">
        <v>2014</v>
      </c>
      <c r="B345" s="11" t="s">
        <v>483</v>
      </c>
      <c r="C345" s="11" t="s">
        <v>484</v>
      </c>
      <c r="D345" s="12">
        <v>1015042</v>
      </c>
      <c r="E345" s="12">
        <v>2</v>
      </c>
      <c r="F345" s="12"/>
      <c r="G345" s="12">
        <v>610</v>
      </c>
      <c r="H345" s="12" t="s">
        <v>90</v>
      </c>
      <c r="I345" s="12"/>
      <c r="J345" s="12" t="s">
        <v>91</v>
      </c>
      <c r="K345" s="12" t="b">
        <v>1</v>
      </c>
      <c r="L345" s="12">
        <v>5</v>
      </c>
      <c r="M345" s="8">
        <v>2019</v>
      </c>
      <c r="N345" s="9">
        <v>0</v>
      </c>
      <c r="O345" s="9">
        <v>0</v>
      </c>
      <c r="P345" s="9">
        <v>9900</v>
      </c>
      <c r="Q345" s="9">
        <v>9900</v>
      </c>
      <c r="R345" s="13">
        <v>41815</v>
      </c>
      <c r="S345" s="13">
        <v>41815</v>
      </c>
    </row>
    <row r="346" spans="1:19">
      <c r="A346" s="10">
        <v>2014</v>
      </c>
      <c r="B346" s="11" t="s">
        <v>483</v>
      </c>
      <c r="C346" s="11" t="s">
        <v>484</v>
      </c>
      <c r="D346" s="12">
        <v>1015042</v>
      </c>
      <c r="E346" s="12">
        <v>2</v>
      </c>
      <c r="F346" s="12"/>
      <c r="G346" s="12">
        <v>610</v>
      </c>
      <c r="H346" s="12" t="s">
        <v>90</v>
      </c>
      <c r="I346" s="12"/>
      <c r="J346" s="12" t="s">
        <v>91</v>
      </c>
      <c r="K346" s="12" t="b">
        <v>1</v>
      </c>
      <c r="L346" s="12">
        <v>4</v>
      </c>
      <c r="M346" s="8">
        <v>2018</v>
      </c>
      <c r="N346" s="9">
        <v>0</v>
      </c>
      <c r="O346" s="9">
        <v>0</v>
      </c>
      <c r="P346" s="9">
        <v>9900</v>
      </c>
      <c r="Q346" s="9">
        <v>9900</v>
      </c>
      <c r="R346" s="13">
        <v>41815</v>
      </c>
      <c r="S346" s="13">
        <v>41815</v>
      </c>
    </row>
    <row r="347" spans="1:19">
      <c r="A347" s="10">
        <v>2014</v>
      </c>
      <c r="B347" s="11" t="s">
        <v>483</v>
      </c>
      <c r="C347" s="11" t="s">
        <v>484</v>
      </c>
      <c r="D347" s="12">
        <v>1015042</v>
      </c>
      <c r="E347" s="12">
        <v>2</v>
      </c>
      <c r="F347" s="12"/>
      <c r="G347" s="12">
        <v>610</v>
      </c>
      <c r="H347" s="12" t="s">
        <v>90</v>
      </c>
      <c r="I347" s="12"/>
      <c r="J347" s="12" t="s">
        <v>91</v>
      </c>
      <c r="K347" s="12" t="b">
        <v>1</v>
      </c>
      <c r="L347" s="12">
        <v>0</v>
      </c>
      <c r="M347" s="8">
        <v>2014</v>
      </c>
      <c r="N347" s="9">
        <v>0</v>
      </c>
      <c r="O347" s="9">
        <v>0</v>
      </c>
      <c r="P347" s="9">
        <v>9900</v>
      </c>
      <c r="Q347" s="9">
        <v>9900</v>
      </c>
      <c r="R347" s="13">
        <v>41815</v>
      </c>
      <c r="S347" s="13">
        <v>41815</v>
      </c>
    </row>
    <row r="348" spans="1:19">
      <c r="A348" s="10">
        <v>2014</v>
      </c>
      <c r="B348" s="11" t="s">
        <v>483</v>
      </c>
      <c r="C348" s="11" t="s">
        <v>484</v>
      </c>
      <c r="D348" s="12">
        <v>1015042</v>
      </c>
      <c r="E348" s="12">
        <v>2</v>
      </c>
      <c r="F348" s="12"/>
      <c r="G348" s="12">
        <v>610</v>
      </c>
      <c r="H348" s="12" t="s">
        <v>90</v>
      </c>
      <c r="I348" s="12"/>
      <c r="J348" s="12" t="s">
        <v>91</v>
      </c>
      <c r="K348" s="12" t="b">
        <v>1</v>
      </c>
      <c r="L348" s="12">
        <v>3</v>
      </c>
      <c r="M348" s="8">
        <v>2017</v>
      </c>
      <c r="N348" s="9">
        <v>0</v>
      </c>
      <c r="O348" s="9">
        <v>0</v>
      </c>
      <c r="P348" s="9">
        <v>9900</v>
      </c>
      <c r="Q348" s="9">
        <v>9900</v>
      </c>
      <c r="R348" s="13">
        <v>41815</v>
      </c>
      <c r="S348" s="13">
        <v>41815</v>
      </c>
    </row>
    <row r="349" spans="1:19">
      <c r="A349" s="10">
        <v>2014</v>
      </c>
      <c r="B349" s="11" t="s">
        <v>483</v>
      </c>
      <c r="C349" s="11" t="s">
        <v>484</v>
      </c>
      <c r="D349" s="12">
        <v>1015042</v>
      </c>
      <c r="E349" s="12">
        <v>2</v>
      </c>
      <c r="F349" s="12"/>
      <c r="G349" s="12">
        <v>610</v>
      </c>
      <c r="H349" s="12" t="s">
        <v>90</v>
      </c>
      <c r="I349" s="12"/>
      <c r="J349" s="12" t="s">
        <v>91</v>
      </c>
      <c r="K349" s="12" t="b">
        <v>1</v>
      </c>
      <c r="L349" s="12">
        <v>6</v>
      </c>
      <c r="M349" s="8">
        <v>2020</v>
      </c>
      <c r="N349" s="9">
        <v>0</v>
      </c>
      <c r="O349" s="9">
        <v>0</v>
      </c>
      <c r="P349" s="9">
        <v>9900</v>
      </c>
      <c r="Q349" s="9">
        <v>9900</v>
      </c>
      <c r="R349" s="13">
        <v>41815</v>
      </c>
      <c r="S349" s="13">
        <v>41815</v>
      </c>
    </row>
    <row r="350" spans="1:19">
      <c r="A350" s="10">
        <v>2014</v>
      </c>
      <c r="B350" s="11" t="s">
        <v>483</v>
      </c>
      <c r="C350" s="11" t="s">
        <v>484</v>
      </c>
      <c r="D350" s="12">
        <v>1015042</v>
      </c>
      <c r="E350" s="12">
        <v>2</v>
      </c>
      <c r="F350" s="12"/>
      <c r="G350" s="12">
        <v>610</v>
      </c>
      <c r="H350" s="12" t="s">
        <v>90</v>
      </c>
      <c r="I350" s="12"/>
      <c r="J350" s="12" t="s">
        <v>91</v>
      </c>
      <c r="K350" s="12" t="b">
        <v>1</v>
      </c>
      <c r="L350" s="12">
        <v>8</v>
      </c>
      <c r="M350" s="8">
        <v>2022</v>
      </c>
      <c r="N350" s="9">
        <v>0</v>
      </c>
      <c r="O350" s="9">
        <v>0</v>
      </c>
      <c r="P350" s="9">
        <v>9900</v>
      </c>
      <c r="Q350" s="9">
        <v>9900</v>
      </c>
      <c r="R350" s="13">
        <v>41815</v>
      </c>
      <c r="S350" s="13">
        <v>41815</v>
      </c>
    </row>
    <row r="351" spans="1:19">
      <c r="A351" s="10">
        <v>2014</v>
      </c>
      <c r="B351" s="11" t="s">
        <v>483</v>
      </c>
      <c r="C351" s="11" t="s">
        <v>484</v>
      </c>
      <c r="D351" s="12">
        <v>1015042</v>
      </c>
      <c r="E351" s="12">
        <v>2</v>
      </c>
      <c r="F351" s="12"/>
      <c r="G351" s="12">
        <v>610</v>
      </c>
      <c r="H351" s="12" t="s">
        <v>90</v>
      </c>
      <c r="I351" s="12"/>
      <c r="J351" s="12" t="s">
        <v>91</v>
      </c>
      <c r="K351" s="12" t="b">
        <v>1</v>
      </c>
      <c r="L351" s="12">
        <v>7</v>
      </c>
      <c r="M351" s="8">
        <v>2021</v>
      </c>
      <c r="N351" s="9">
        <v>0</v>
      </c>
      <c r="O351" s="9">
        <v>0</v>
      </c>
      <c r="P351" s="9">
        <v>9900</v>
      </c>
      <c r="Q351" s="9">
        <v>9900</v>
      </c>
      <c r="R351" s="13">
        <v>41815</v>
      </c>
      <c r="S351" s="13">
        <v>41815</v>
      </c>
    </row>
    <row r="352" spans="1:19">
      <c r="A352" s="10">
        <v>2014</v>
      </c>
      <c r="B352" s="11" t="s">
        <v>483</v>
      </c>
      <c r="C352" s="11" t="s">
        <v>484</v>
      </c>
      <c r="D352" s="12">
        <v>1015042</v>
      </c>
      <c r="E352" s="12">
        <v>2</v>
      </c>
      <c r="F352" s="12"/>
      <c r="G352" s="12">
        <v>761</v>
      </c>
      <c r="H352" s="12" t="s">
        <v>114</v>
      </c>
      <c r="I352" s="12"/>
      <c r="J352" s="12" t="s">
        <v>115</v>
      </c>
      <c r="K352" s="12" t="b">
        <v>1</v>
      </c>
      <c r="L352" s="12">
        <v>0</v>
      </c>
      <c r="M352" s="8">
        <v>2014</v>
      </c>
      <c r="N352" s="9">
        <v>1053130</v>
      </c>
      <c r="O352" s="9">
        <v>613013.13</v>
      </c>
      <c r="P352" s="9">
        <v>500000</v>
      </c>
      <c r="Q352" s="9">
        <v>0</v>
      </c>
      <c r="R352" s="13">
        <v>41815</v>
      </c>
      <c r="S352" s="13">
        <v>41815</v>
      </c>
    </row>
    <row r="353" spans="1:19">
      <c r="A353" s="10">
        <v>2014</v>
      </c>
      <c r="B353" s="11" t="s">
        <v>483</v>
      </c>
      <c r="C353" s="11" t="s">
        <v>484</v>
      </c>
      <c r="D353" s="12">
        <v>1015042</v>
      </c>
      <c r="E353" s="12">
        <v>2</v>
      </c>
      <c r="F353" s="12"/>
      <c r="G353" s="12">
        <v>761</v>
      </c>
      <c r="H353" s="12" t="s">
        <v>114</v>
      </c>
      <c r="I353" s="12"/>
      <c r="J353" s="12" t="s">
        <v>115</v>
      </c>
      <c r="K353" s="12" t="b">
        <v>1</v>
      </c>
      <c r="L353" s="12">
        <v>2</v>
      </c>
      <c r="M353" s="8">
        <v>2016</v>
      </c>
      <c r="N353" s="9">
        <v>1053130</v>
      </c>
      <c r="O353" s="9">
        <v>613013.13</v>
      </c>
      <c r="P353" s="9">
        <v>500000</v>
      </c>
      <c r="Q353" s="9">
        <v>0</v>
      </c>
      <c r="R353" s="13">
        <v>41815</v>
      </c>
      <c r="S353" s="13">
        <v>41815</v>
      </c>
    </row>
    <row r="354" spans="1:19">
      <c r="A354" s="10">
        <v>2014</v>
      </c>
      <c r="B354" s="11" t="s">
        <v>483</v>
      </c>
      <c r="C354" s="11" t="s">
        <v>484</v>
      </c>
      <c r="D354" s="12">
        <v>1015042</v>
      </c>
      <c r="E354" s="12">
        <v>2</v>
      </c>
      <c r="F354" s="12"/>
      <c r="G354" s="12">
        <v>761</v>
      </c>
      <c r="H354" s="12" t="s">
        <v>114</v>
      </c>
      <c r="I354" s="12"/>
      <c r="J354" s="12" t="s">
        <v>115</v>
      </c>
      <c r="K354" s="12" t="b">
        <v>1</v>
      </c>
      <c r="L354" s="12">
        <v>1</v>
      </c>
      <c r="M354" s="8">
        <v>2015</v>
      </c>
      <c r="N354" s="9">
        <v>1053130</v>
      </c>
      <c r="O354" s="9">
        <v>613013.13</v>
      </c>
      <c r="P354" s="9">
        <v>500000</v>
      </c>
      <c r="Q354" s="9">
        <v>0</v>
      </c>
      <c r="R354" s="13">
        <v>41815</v>
      </c>
      <c r="S354" s="13">
        <v>41815</v>
      </c>
    </row>
    <row r="355" spans="1:19">
      <c r="A355" s="10">
        <v>2014</v>
      </c>
      <c r="B355" s="11" t="s">
        <v>483</v>
      </c>
      <c r="C355" s="11" t="s">
        <v>484</v>
      </c>
      <c r="D355" s="12">
        <v>1015042</v>
      </c>
      <c r="E355" s="12">
        <v>2</v>
      </c>
      <c r="F355" s="12"/>
      <c r="G355" s="12">
        <v>761</v>
      </c>
      <c r="H355" s="12" t="s">
        <v>114</v>
      </c>
      <c r="I355" s="12"/>
      <c r="J355" s="12" t="s">
        <v>115</v>
      </c>
      <c r="K355" s="12" t="b">
        <v>1</v>
      </c>
      <c r="L355" s="12">
        <v>8</v>
      </c>
      <c r="M355" s="8">
        <v>2022</v>
      </c>
      <c r="N355" s="9">
        <v>1053130</v>
      </c>
      <c r="O355" s="9">
        <v>613013.13</v>
      </c>
      <c r="P355" s="9">
        <v>500000</v>
      </c>
      <c r="Q355" s="9">
        <v>0</v>
      </c>
      <c r="R355" s="13">
        <v>41815</v>
      </c>
      <c r="S355" s="13">
        <v>41815</v>
      </c>
    </row>
    <row r="356" spans="1:19">
      <c r="A356" s="10">
        <v>2014</v>
      </c>
      <c r="B356" s="11" t="s">
        <v>483</v>
      </c>
      <c r="C356" s="11" t="s">
        <v>484</v>
      </c>
      <c r="D356" s="12">
        <v>1015042</v>
      </c>
      <c r="E356" s="12">
        <v>2</v>
      </c>
      <c r="F356" s="12"/>
      <c r="G356" s="12">
        <v>761</v>
      </c>
      <c r="H356" s="12" t="s">
        <v>114</v>
      </c>
      <c r="I356" s="12"/>
      <c r="J356" s="12" t="s">
        <v>115</v>
      </c>
      <c r="K356" s="12" t="b">
        <v>1</v>
      </c>
      <c r="L356" s="12">
        <v>7</v>
      </c>
      <c r="M356" s="8">
        <v>2021</v>
      </c>
      <c r="N356" s="9">
        <v>1053130</v>
      </c>
      <c r="O356" s="9">
        <v>613013.13</v>
      </c>
      <c r="P356" s="9">
        <v>500000</v>
      </c>
      <c r="Q356" s="9">
        <v>0</v>
      </c>
      <c r="R356" s="13">
        <v>41815</v>
      </c>
      <c r="S356" s="13">
        <v>41815</v>
      </c>
    </row>
    <row r="357" spans="1:19">
      <c r="A357" s="10">
        <v>2014</v>
      </c>
      <c r="B357" s="11" t="s">
        <v>483</v>
      </c>
      <c r="C357" s="11" t="s">
        <v>484</v>
      </c>
      <c r="D357" s="12">
        <v>1015042</v>
      </c>
      <c r="E357" s="12">
        <v>2</v>
      </c>
      <c r="F357" s="12"/>
      <c r="G357" s="12">
        <v>761</v>
      </c>
      <c r="H357" s="12" t="s">
        <v>114</v>
      </c>
      <c r="I357" s="12"/>
      <c r="J357" s="12" t="s">
        <v>115</v>
      </c>
      <c r="K357" s="12" t="b">
        <v>1</v>
      </c>
      <c r="L357" s="12">
        <v>4</v>
      </c>
      <c r="M357" s="8">
        <v>2018</v>
      </c>
      <c r="N357" s="9">
        <v>1053130</v>
      </c>
      <c r="O357" s="9">
        <v>613013.13</v>
      </c>
      <c r="P357" s="9">
        <v>500000</v>
      </c>
      <c r="Q357" s="9">
        <v>0</v>
      </c>
      <c r="R357" s="13">
        <v>41815</v>
      </c>
      <c r="S357" s="13">
        <v>41815</v>
      </c>
    </row>
    <row r="358" spans="1:19">
      <c r="A358" s="10">
        <v>2014</v>
      </c>
      <c r="B358" s="11" t="s">
        <v>483</v>
      </c>
      <c r="C358" s="11" t="s">
        <v>484</v>
      </c>
      <c r="D358" s="12">
        <v>1015042</v>
      </c>
      <c r="E358" s="12">
        <v>2</v>
      </c>
      <c r="F358" s="12"/>
      <c r="G358" s="12">
        <v>761</v>
      </c>
      <c r="H358" s="12" t="s">
        <v>114</v>
      </c>
      <c r="I358" s="12"/>
      <c r="J358" s="12" t="s">
        <v>115</v>
      </c>
      <c r="K358" s="12" t="b">
        <v>1</v>
      </c>
      <c r="L358" s="12">
        <v>5</v>
      </c>
      <c r="M358" s="8">
        <v>2019</v>
      </c>
      <c r="N358" s="9">
        <v>1053130</v>
      </c>
      <c r="O358" s="9">
        <v>613013.13</v>
      </c>
      <c r="P358" s="9">
        <v>500000</v>
      </c>
      <c r="Q358" s="9">
        <v>0</v>
      </c>
      <c r="R358" s="13">
        <v>41815</v>
      </c>
      <c r="S358" s="13">
        <v>41815</v>
      </c>
    </row>
    <row r="359" spans="1:19">
      <c r="A359" s="10">
        <v>2014</v>
      </c>
      <c r="B359" s="11" t="s">
        <v>483</v>
      </c>
      <c r="C359" s="11" t="s">
        <v>484</v>
      </c>
      <c r="D359" s="12">
        <v>1015042</v>
      </c>
      <c r="E359" s="12">
        <v>2</v>
      </c>
      <c r="F359" s="12"/>
      <c r="G359" s="12">
        <v>761</v>
      </c>
      <c r="H359" s="12" t="s">
        <v>114</v>
      </c>
      <c r="I359" s="12"/>
      <c r="J359" s="12" t="s">
        <v>115</v>
      </c>
      <c r="K359" s="12" t="b">
        <v>1</v>
      </c>
      <c r="L359" s="12">
        <v>6</v>
      </c>
      <c r="M359" s="8">
        <v>2020</v>
      </c>
      <c r="N359" s="9">
        <v>1053130</v>
      </c>
      <c r="O359" s="9">
        <v>613013.13</v>
      </c>
      <c r="P359" s="9">
        <v>500000</v>
      </c>
      <c r="Q359" s="9">
        <v>0</v>
      </c>
      <c r="R359" s="13">
        <v>41815</v>
      </c>
      <c r="S359" s="13">
        <v>41815</v>
      </c>
    </row>
    <row r="360" spans="1:19">
      <c r="A360" s="10">
        <v>2014</v>
      </c>
      <c r="B360" s="11" t="s">
        <v>483</v>
      </c>
      <c r="C360" s="11" t="s">
        <v>484</v>
      </c>
      <c r="D360" s="12">
        <v>1015042</v>
      </c>
      <c r="E360" s="12">
        <v>2</v>
      </c>
      <c r="F360" s="12"/>
      <c r="G360" s="12">
        <v>761</v>
      </c>
      <c r="H360" s="12" t="s">
        <v>114</v>
      </c>
      <c r="I360" s="12"/>
      <c r="J360" s="12" t="s">
        <v>115</v>
      </c>
      <c r="K360" s="12" t="b">
        <v>1</v>
      </c>
      <c r="L360" s="12">
        <v>3</v>
      </c>
      <c r="M360" s="8">
        <v>2017</v>
      </c>
      <c r="N360" s="9">
        <v>1053130</v>
      </c>
      <c r="O360" s="9">
        <v>613013.13</v>
      </c>
      <c r="P360" s="9">
        <v>500000</v>
      </c>
      <c r="Q360" s="9">
        <v>0</v>
      </c>
      <c r="R360" s="13">
        <v>41815</v>
      </c>
      <c r="S360" s="13">
        <v>41815</v>
      </c>
    </row>
    <row r="361" spans="1:19">
      <c r="A361" s="10">
        <v>2014</v>
      </c>
      <c r="B361" s="11" t="s">
        <v>483</v>
      </c>
      <c r="C361" s="11" t="s">
        <v>484</v>
      </c>
      <c r="D361" s="12">
        <v>1015042</v>
      </c>
      <c r="E361" s="12">
        <v>2</v>
      </c>
      <c r="F361" s="12"/>
      <c r="G361" s="12">
        <v>766</v>
      </c>
      <c r="H361" s="12" t="s">
        <v>403</v>
      </c>
      <c r="I361" s="12"/>
      <c r="J361" s="12" t="s">
        <v>400</v>
      </c>
      <c r="K361" s="12" t="b">
        <v>1</v>
      </c>
      <c r="L361" s="12">
        <v>1</v>
      </c>
      <c r="M361" s="8">
        <v>2015</v>
      </c>
      <c r="N361" s="9">
        <v>0</v>
      </c>
      <c r="O361" s="9">
        <v>0</v>
      </c>
      <c r="P361" s="9">
        <v>0</v>
      </c>
      <c r="Q361" s="9">
        <v>0</v>
      </c>
      <c r="R361" s="13">
        <v>41815</v>
      </c>
      <c r="S361" s="13">
        <v>41815</v>
      </c>
    </row>
    <row r="362" spans="1:19">
      <c r="A362" s="10">
        <v>2014</v>
      </c>
      <c r="B362" s="11" t="s">
        <v>483</v>
      </c>
      <c r="C362" s="11" t="s">
        <v>484</v>
      </c>
      <c r="D362" s="12">
        <v>1015042</v>
      </c>
      <c r="E362" s="12">
        <v>2</v>
      </c>
      <c r="F362" s="12"/>
      <c r="G362" s="12">
        <v>766</v>
      </c>
      <c r="H362" s="12" t="s">
        <v>403</v>
      </c>
      <c r="I362" s="12"/>
      <c r="J362" s="12" t="s">
        <v>400</v>
      </c>
      <c r="K362" s="12" t="b">
        <v>1</v>
      </c>
      <c r="L362" s="12">
        <v>8</v>
      </c>
      <c r="M362" s="8">
        <v>2022</v>
      </c>
      <c r="N362" s="9">
        <v>0</v>
      </c>
      <c r="O362" s="9">
        <v>0</v>
      </c>
      <c r="P362" s="9">
        <v>0</v>
      </c>
      <c r="Q362" s="9">
        <v>0</v>
      </c>
      <c r="R362" s="13">
        <v>41815</v>
      </c>
      <c r="S362" s="13">
        <v>41815</v>
      </c>
    </row>
    <row r="363" spans="1:19">
      <c r="A363" s="10">
        <v>2014</v>
      </c>
      <c r="B363" s="11" t="s">
        <v>483</v>
      </c>
      <c r="C363" s="11" t="s">
        <v>484</v>
      </c>
      <c r="D363" s="12">
        <v>1015042</v>
      </c>
      <c r="E363" s="12">
        <v>2</v>
      </c>
      <c r="F363" s="12"/>
      <c r="G363" s="12">
        <v>766</v>
      </c>
      <c r="H363" s="12" t="s">
        <v>403</v>
      </c>
      <c r="I363" s="12"/>
      <c r="J363" s="12" t="s">
        <v>400</v>
      </c>
      <c r="K363" s="12" t="b">
        <v>1</v>
      </c>
      <c r="L363" s="12">
        <v>7</v>
      </c>
      <c r="M363" s="8">
        <v>2021</v>
      </c>
      <c r="N363" s="9">
        <v>0</v>
      </c>
      <c r="O363" s="9">
        <v>0</v>
      </c>
      <c r="P363" s="9">
        <v>0</v>
      </c>
      <c r="Q363" s="9">
        <v>0</v>
      </c>
      <c r="R363" s="13">
        <v>41815</v>
      </c>
      <c r="S363" s="13">
        <v>41815</v>
      </c>
    </row>
    <row r="364" spans="1:19">
      <c r="A364" s="10">
        <v>2014</v>
      </c>
      <c r="B364" s="11" t="s">
        <v>483</v>
      </c>
      <c r="C364" s="11" t="s">
        <v>484</v>
      </c>
      <c r="D364" s="12">
        <v>1015042</v>
      </c>
      <c r="E364" s="12">
        <v>2</v>
      </c>
      <c r="F364" s="12"/>
      <c r="G364" s="12">
        <v>766</v>
      </c>
      <c r="H364" s="12" t="s">
        <v>403</v>
      </c>
      <c r="I364" s="12"/>
      <c r="J364" s="12" t="s">
        <v>400</v>
      </c>
      <c r="K364" s="12" t="b">
        <v>1</v>
      </c>
      <c r="L364" s="12">
        <v>4</v>
      </c>
      <c r="M364" s="8">
        <v>2018</v>
      </c>
      <c r="N364" s="9">
        <v>0</v>
      </c>
      <c r="O364" s="9">
        <v>0</v>
      </c>
      <c r="P364" s="9">
        <v>0</v>
      </c>
      <c r="Q364" s="9">
        <v>0</v>
      </c>
      <c r="R364" s="13">
        <v>41815</v>
      </c>
      <c r="S364" s="13">
        <v>41815</v>
      </c>
    </row>
    <row r="365" spans="1:19">
      <c r="A365" s="10">
        <v>2014</v>
      </c>
      <c r="B365" s="11" t="s">
        <v>483</v>
      </c>
      <c r="C365" s="11" t="s">
        <v>484</v>
      </c>
      <c r="D365" s="12">
        <v>1015042</v>
      </c>
      <c r="E365" s="12">
        <v>2</v>
      </c>
      <c r="F365" s="12"/>
      <c r="G365" s="12">
        <v>766</v>
      </c>
      <c r="H365" s="12" t="s">
        <v>403</v>
      </c>
      <c r="I365" s="12"/>
      <c r="J365" s="12" t="s">
        <v>400</v>
      </c>
      <c r="K365" s="12" t="b">
        <v>1</v>
      </c>
      <c r="L365" s="12">
        <v>5</v>
      </c>
      <c r="M365" s="8">
        <v>2019</v>
      </c>
      <c r="N365" s="9">
        <v>0</v>
      </c>
      <c r="O365" s="9">
        <v>0</v>
      </c>
      <c r="P365" s="9">
        <v>0</v>
      </c>
      <c r="Q365" s="9">
        <v>0</v>
      </c>
      <c r="R365" s="13">
        <v>41815</v>
      </c>
      <c r="S365" s="13">
        <v>41815</v>
      </c>
    </row>
    <row r="366" spans="1:19">
      <c r="A366" s="10">
        <v>2014</v>
      </c>
      <c r="B366" s="11" t="s">
        <v>483</v>
      </c>
      <c r="C366" s="11" t="s">
        <v>484</v>
      </c>
      <c r="D366" s="12">
        <v>1015042</v>
      </c>
      <c r="E366" s="12">
        <v>2</v>
      </c>
      <c r="F366" s="12"/>
      <c r="G366" s="12">
        <v>766</v>
      </c>
      <c r="H366" s="12" t="s">
        <v>403</v>
      </c>
      <c r="I366" s="12"/>
      <c r="J366" s="12" t="s">
        <v>400</v>
      </c>
      <c r="K366" s="12" t="b">
        <v>1</v>
      </c>
      <c r="L366" s="12">
        <v>6</v>
      </c>
      <c r="M366" s="8">
        <v>2020</v>
      </c>
      <c r="N366" s="9">
        <v>0</v>
      </c>
      <c r="O366" s="9">
        <v>0</v>
      </c>
      <c r="P366" s="9">
        <v>0</v>
      </c>
      <c r="Q366" s="9">
        <v>0</v>
      </c>
      <c r="R366" s="13">
        <v>41815</v>
      </c>
      <c r="S366" s="13">
        <v>41815</v>
      </c>
    </row>
    <row r="367" spans="1:19">
      <c r="A367" s="10">
        <v>2014</v>
      </c>
      <c r="B367" s="11" t="s">
        <v>483</v>
      </c>
      <c r="C367" s="11" t="s">
        <v>484</v>
      </c>
      <c r="D367" s="12">
        <v>1015042</v>
      </c>
      <c r="E367" s="12">
        <v>2</v>
      </c>
      <c r="F367" s="12"/>
      <c r="G367" s="12">
        <v>766</v>
      </c>
      <c r="H367" s="12" t="s">
        <v>403</v>
      </c>
      <c r="I367" s="12"/>
      <c r="J367" s="12" t="s">
        <v>400</v>
      </c>
      <c r="K367" s="12" t="b">
        <v>1</v>
      </c>
      <c r="L367" s="12">
        <v>3</v>
      </c>
      <c r="M367" s="8">
        <v>2017</v>
      </c>
      <c r="N367" s="9">
        <v>0</v>
      </c>
      <c r="O367" s="9">
        <v>0</v>
      </c>
      <c r="P367" s="9">
        <v>0</v>
      </c>
      <c r="Q367" s="9">
        <v>0</v>
      </c>
      <c r="R367" s="13">
        <v>41815</v>
      </c>
      <c r="S367" s="13">
        <v>41815</v>
      </c>
    </row>
    <row r="368" spans="1:19">
      <c r="A368" s="10">
        <v>2014</v>
      </c>
      <c r="B368" s="11" t="s">
        <v>483</v>
      </c>
      <c r="C368" s="11" t="s">
        <v>484</v>
      </c>
      <c r="D368" s="12">
        <v>1015042</v>
      </c>
      <c r="E368" s="12">
        <v>2</v>
      </c>
      <c r="F368" s="12"/>
      <c r="G368" s="12">
        <v>766</v>
      </c>
      <c r="H368" s="12" t="s">
        <v>403</v>
      </c>
      <c r="I368" s="12"/>
      <c r="J368" s="12" t="s">
        <v>400</v>
      </c>
      <c r="K368" s="12" t="b">
        <v>1</v>
      </c>
      <c r="L368" s="12">
        <v>0</v>
      </c>
      <c r="M368" s="8">
        <v>2014</v>
      </c>
      <c r="N368" s="9">
        <v>0</v>
      </c>
      <c r="O368" s="9">
        <v>0</v>
      </c>
      <c r="P368" s="9">
        <v>0</v>
      </c>
      <c r="Q368" s="9">
        <v>0</v>
      </c>
      <c r="R368" s="13">
        <v>41815</v>
      </c>
      <c r="S368" s="13">
        <v>41815</v>
      </c>
    </row>
    <row r="369" spans="1:19">
      <c r="A369" s="10">
        <v>2014</v>
      </c>
      <c r="B369" s="11" t="s">
        <v>483</v>
      </c>
      <c r="C369" s="11" t="s">
        <v>484</v>
      </c>
      <c r="D369" s="12">
        <v>1015042</v>
      </c>
      <c r="E369" s="12">
        <v>2</v>
      </c>
      <c r="F369" s="12"/>
      <c r="G369" s="12">
        <v>766</v>
      </c>
      <c r="H369" s="12" t="s">
        <v>403</v>
      </c>
      <c r="I369" s="12"/>
      <c r="J369" s="12" t="s">
        <v>400</v>
      </c>
      <c r="K369" s="12" t="b">
        <v>1</v>
      </c>
      <c r="L369" s="12">
        <v>2</v>
      </c>
      <c r="M369" s="8">
        <v>2016</v>
      </c>
      <c r="N369" s="9">
        <v>0</v>
      </c>
      <c r="O369" s="9">
        <v>0</v>
      </c>
      <c r="P369" s="9">
        <v>0</v>
      </c>
      <c r="Q369" s="9">
        <v>0</v>
      </c>
      <c r="R369" s="13">
        <v>41815</v>
      </c>
      <c r="S369" s="13">
        <v>41815</v>
      </c>
    </row>
    <row r="370" spans="1:19">
      <c r="A370" s="10">
        <v>2014</v>
      </c>
      <c r="B370" s="11" t="s">
        <v>483</v>
      </c>
      <c r="C370" s="11" t="s">
        <v>484</v>
      </c>
      <c r="D370" s="12">
        <v>1015042</v>
      </c>
      <c r="E370" s="12">
        <v>2</v>
      </c>
      <c r="F370" s="12"/>
      <c r="G370" s="12">
        <v>820</v>
      </c>
      <c r="H370" s="12">
        <v>13.3</v>
      </c>
      <c r="I370" s="12"/>
      <c r="J370" s="12" t="s">
        <v>121</v>
      </c>
      <c r="K370" s="12" t="b">
        <v>1</v>
      </c>
      <c r="L370" s="12">
        <v>0</v>
      </c>
      <c r="M370" s="8">
        <v>2014</v>
      </c>
      <c r="N370" s="9">
        <v>0</v>
      </c>
      <c r="O370" s="9">
        <v>0</v>
      </c>
      <c r="P370" s="9">
        <v>0</v>
      </c>
      <c r="Q370" s="9">
        <v>0</v>
      </c>
      <c r="R370" s="13">
        <v>41815</v>
      </c>
      <c r="S370" s="13">
        <v>41815</v>
      </c>
    </row>
    <row r="371" spans="1:19">
      <c r="A371" s="10">
        <v>2014</v>
      </c>
      <c r="B371" s="11" t="s">
        <v>483</v>
      </c>
      <c r="C371" s="11" t="s">
        <v>484</v>
      </c>
      <c r="D371" s="12">
        <v>1015042</v>
      </c>
      <c r="E371" s="12">
        <v>2</v>
      </c>
      <c r="F371" s="12"/>
      <c r="G371" s="12">
        <v>820</v>
      </c>
      <c r="H371" s="12">
        <v>13.3</v>
      </c>
      <c r="I371" s="12"/>
      <c r="J371" s="12" t="s">
        <v>121</v>
      </c>
      <c r="K371" s="12" t="b">
        <v>1</v>
      </c>
      <c r="L371" s="12">
        <v>8</v>
      </c>
      <c r="M371" s="8">
        <v>2022</v>
      </c>
      <c r="N371" s="9">
        <v>0</v>
      </c>
      <c r="O371" s="9">
        <v>0</v>
      </c>
      <c r="P371" s="9">
        <v>0</v>
      </c>
      <c r="Q371" s="9">
        <v>0</v>
      </c>
      <c r="R371" s="13">
        <v>41815</v>
      </c>
      <c r="S371" s="13">
        <v>41815</v>
      </c>
    </row>
    <row r="372" spans="1:19">
      <c r="A372" s="10">
        <v>2014</v>
      </c>
      <c r="B372" s="11" t="s">
        <v>483</v>
      </c>
      <c r="C372" s="11" t="s">
        <v>484</v>
      </c>
      <c r="D372" s="12">
        <v>1015042</v>
      </c>
      <c r="E372" s="12">
        <v>2</v>
      </c>
      <c r="F372" s="12"/>
      <c r="G372" s="12">
        <v>820</v>
      </c>
      <c r="H372" s="12">
        <v>13.3</v>
      </c>
      <c r="I372" s="12"/>
      <c r="J372" s="12" t="s">
        <v>121</v>
      </c>
      <c r="K372" s="12" t="b">
        <v>1</v>
      </c>
      <c r="L372" s="12">
        <v>1</v>
      </c>
      <c r="M372" s="8">
        <v>2015</v>
      </c>
      <c r="N372" s="9">
        <v>0</v>
      </c>
      <c r="O372" s="9">
        <v>0</v>
      </c>
      <c r="P372" s="9">
        <v>0</v>
      </c>
      <c r="Q372" s="9">
        <v>0</v>
      </c>
      <c r="R372" s="13">
        <v>41815</v>
      </c>
      <c r="S372" s="13">
        <v>41815</v>
      </c>
    </row>
    <row r="373" spans="1:19">
      <c r="A373" s="10">
        <v>2014</v>
      </c>
      <c r="B373" s="11" t="s">
        <v>483</v>
      </c>
      <c r="C373" s="11" t="s">
        <v>484</v>
      </c>
      <c r="D373" s="12">
        <v>1015042</v>
      </c>
      <c r="E373" s="12">
        <v>2</v>
      </c>
      <c r="F373" s="12"/>
      <c r="G373" s="12">
        <v>820</v>
      </c>
      <c r="H373" s="12">
        <v>13.3</v>
      </c>
      <c r="I373" s="12"/>
      <c r="J373" s="12" t="s">
        <v>121</v>
      </c>
      <c r="K373" s="12" t="b">
        <v>1</v>
      </c>
      <c r="L373" s="12">
        <v>4</v>
      </c>
      <c r="M373" s="8">
        <v>2018</v>
      </c>
      <c r="N373" s="9">
        <v>0</v>
      </c>
      <c r="O373" s="9">
        <v>0</v>
      </c>
      <c r="P373" s="9">
        <v>0</v>
      </c>
      <c r="Q373" s="9">
        <v>0</v>
      </c>
      <c r="R373" s="13">
        <v>41815</v>
      </c>
      <c r="S373" s="13">
        <v>41815</v>
      </c>
    </row>
    <row r="374" spans="1:19">
      <c r="A374" s="10">
        <v>2014</v>
      </c>
      <c r="B374" s="11" t="s">
        <v>483</v>
      </c>
      <c r="C374" s="11" t="s">
        <v>484</v>
      </c>
      <c r="D374" s="12">
        <v>1015042</v>
      </c>
      <c r="E374" s="12">
        <v>2</v>
      </c>
      <c r="F374" s="12"/>
      <c r="G374" s="12">
        <v>820</v>
      </c>
      <c r="H374" s="12">
        <v>13.3</v>
      </c>
      <c r="I374" s="12"/>
      <c r="J374" s="12" t="s">
        <v>121</v>
      </c>
      <c r="K374" s="12" t="b">
        <v>1</v>
      </c>
      <c r="L374" s="12">
        <v>2</v>
      </c>
      <c r="M374" s="8">
        <v>2016</v>
      </c>
      <c r="N374" s="9">
        <v>0</v>
      </c>
      <c r="O374" s="9">
        <v>0</v>
      </c>
      <c r="P374" s="9">
        <v>0</v>
      </c>
      <c r="Q374" s="9">
        <v>0</v>
      </c>
      <c r="R374" s="13">
        <v>41815</v>
      </c>
      <c r="S374" s="13">
        <v>41815</v>
      </c>
    </row>
    <row r="375" spans="1:19">
      <c r="A375" s="10">
        <v>2014</v>
      </c>
      <c r="B375" s="11" t="s">
        <v>483</v>
      </c>
      <c r="C375" s="11" t="s">
        <v>484</v>
      </c>
      <c r="D375" s="12">
        <v>1015042</v>
      </c>
      <c r="E375" s="12">
        <v>2</v>
      </c>
      <c r="F375" s="12"/>
      <c r="G375" s="12">
        <v>820</v>
      </c>
      <c r="H375" s="12">
        <v>13.3</v>
      </c>
      <c r="I375" s="12"/>
      <c r="J375" s="12" t="s">
        <v>121</v>
      </c>
      <c r="K375" s="12" t="b">
        <v>1</v>
      </c>
      <c r="L375" s="12">
        <v>3</v>
      </c>
      <c r="M375" s="8">
        <v>2017</v>
      </c>
      <c r="N375" s="9">
        <v>0</v>
      </c>
      <c r="O375" s="9">
        <v>0</v>
      </c>
      <c r="P375" s="9">
        <v>0</v>
      </c>
      <c r="Q375" s="9">
        <v>0</v>
      </c>
      <c r="R375" s="13">
        <v>41815</v>
      </c>
      <c r="S375" s="13">
        <v>41815</v>
      </c>
    </row>
    <row r="376" spans="1:19">
      <c r="A376" s="10">
        <v>2014</v>
      </c>
      <c r="B376" s="11" t="s">
        <v>483</v>
      </c>
      <c r="C376" s="11" t="s">
        <v>484</v>
      </c>
      <c r="D376" s="12">
        <v>1015042</v>
      </c>
      <c r="E376" s="12">
        <v>2</v>
      </c>
      <c r="F376" s="12"/>
      <c r="G376" s="12">
        <v>820</v>
      </c>
      <c r="H376" s="12">
        <v>13.3</v>
      </c>
      <c r="I376" s="12"/>
      <c r="J376" s="12" t="s">
        <v>121</v>
      </c>
      <c r="K376" s="12" t="b">
        <v>1</v>
      </c>
      <c r="L376" s="12">
        <v>6</v>
      </c>
      <c r="M376" s="8">
        <v>2020</v>
      </c>
      <c r="N376" s="9">
        <v>0</v>
      </c>
      <c r="O376" s="9">
        <v>0</v>
      </c>
      <c r="P376" s="9">
        <v>0</v>
      </c>
      <c r="Q376" s="9">
        <v>0</v>
      </c>
      <c r="R376" s="13">
        <v>41815</v>
      </c>
      <c r="S376" s="13">
        <v>41815</v>
      </c>
    </row>
    <row r="377" spans="1:19">
      <c r="A377" s="10">
        <v>2014</v>
      </c>
      <c r="B377" s="11" t="s">
        <v>483</v>
      </c>
      <c r="C377" s="11" t="s">
        <v>484</v>
      </c>
      <c r="D377" s="12">
        <v>1015042</v>
      </c>
      <c r="E377" s="12">
        <v>2</v>
      </c>
      <c r="F377" s="12"/>
      <c r="G377" s="12">
        <v>820</v>
      </c>
      <c r="H377" s="12">
        <v>13.3</v>
      </c>
      <c r="I377" s="12"/>
      <c r="J377" s="12" t="s">
        <v>121</v>
      </c>
      <c r="K377" s="12" t="b">
        <v>1</v>
      </c>
      <c r="L377" s="12">
        <v>7</v>
      </c>
      <c r="M377" s="8">
        <v>2021</v>
      </c>
      <c r="N377" s="9">
        <v>0</v>
      </c>
      <c r="O377" s="9">
        <v>0</v>
      </c>
      <c r="P377" s="9">
        <v>0</v>
      </c>
      <c r="Q377" s="9">
        <v>0</v>
      </c>
      <c r="R377" s="13">
        <v>41815</v>
      </c>
      <c r="S377" s="13">
        <v>41815</v>
      </c>
    </row>
    <row r="378" spans="1:19">
      <c r="A378" s="10">
        <v>2014</v>
      </c>
      <c r="B378" s="11" t="s">
        <v>483</v>
      </c>
      <c r="C378" s="11" t="s">
        <v>484</v>
      </c>
      <c r="D378" s="12">
        <v>1015042</v>
      </c>
      <c r="E378" s="12">
        <v>2</v>
      </c>
      <c r="F378" s="12"/>
      <c r="G378" s="12">
        <v>820</v>
      </c>
      <c r="H378" s="12">
        <v>13.3</v>
      </c>
      <c r="I378" s="12"/>
      <c r="J378" s="12" t="s">
        <v>121</v>
      </c>
      <c r="K378" s="12" t="b">
        <v>1</v>
      </c>
      <c r="L378" s="12">
        <v>5</v>
      </c>
      <c r="M378" s="8">
        <v>2019</v>
      </c>
      <c r="N378" s="9">
        <v>0</v>
      </c>
      <c r="O378" s="9">
        <v>0</v>
      </c>
      <c r="P378" s="9">
        <v>0</v>
      </c>
      <c r="Q378" s="9">
        <v>0</v>
      </c>
      <c r="R378" s="13">
        <v>41815</v>
      </c>
      <c r="S378" s="13">
        <v>41815</v>
      </c>
    </row>
    <row r="379" spans="1:19">
      <c r="A379" s="10">
        <v>2014</v>
      </c>
      <c r="B379" s="11" t="s">
        <v>483</v>
      </c>
      <c r="C379" s="11" t="s">
        <v>484</v>
      </c>
      <c r="D379" s="12">
        <v>1015042</v>
      </c>
      <c r="E379" s="12">
        <v>2</v>
      </c>
      <c r="F379" s="12"/>
      <c r="G379" s="12">
        <v>960</v>
      </c>
      <c r="H379" s="12">
        <v>15.1</v>
      </c>
      <c r="I379" s="12"/>
      <c r="J379" s="12" t="s">
        <v>413</v>
      </c>
      <c r="K379" s="12" t="b">
        <v>1</v>
      </c>
      <c r="L379" s="12">
        <v>5</v>
      </c>
      <c r="M379" s="8">
        <v>2019</v>
      </c>
      <c r="N379" s="9">
        <v>0</v>
      </c>
      <c r="O379" s="9">
        <v>0</v>
      </c>
      <c r="P379" s="9">
        <v>0</v>
      </c>
      <c r="Q379" s="9">
        <v>0</v>
      </c>
      <c r="R379" s="13">
        <v>41815</v>
      </c>
      <c r="S379" s="13">
        <v>41815</v>
      </c>
    </row>
    <row r="380" spans="1:19">
      <c r="A380" s="10">
        <v>2014</v>
      </c>
      <c r="B380" s="11" t="s">
        <v>483</v>
      </c>
      <c r="C380" s="11" t="s">
        <v>484</v>
      </c>
      <c r="D380" s="12">
        <v>1015042</v>
      </c>
      <c r="E380" s="12">
        <v>2</v>
      </c>
      <c r="F380" s="12"/>
      <c r="G380" s="12">
        <v>960</v>
      </c>
      <c r="H380" s="12">
        <v>15.1</v>
      </c>
      <c r="I380" s="12"/>
      <c r="J380" s="12" t="s">
        <v>413</v>
      </c>
      <c r="K380" s="12" t="b">
        <v>1</v>
      </c>
      <c r="L380" s="12">
        <v>7</v>
      </c>
      <c r="M380" s="8">
        <v>2021</v>
      </c>
      <c r="N380" s="9">
        <v>0</v>
      </c>
      <c r="O380" s="9">
        <v>0</v>
      </c>
      <c r="P380" s="9">
        <v>0</v>
      </c>
      <c r="Q380" s="9">
        <v>0</v>
      </c>
      <c r="R380" s="13">
        <v>41815</v>
      </c>
      <c r="S380" s="13">
        <v>41815</v>
      </c>
    </row>
    <row r="381" spans="1:19">
      <c r="A381" s="10">
        <v>2014</v>
      </c>
      <c r="B381" s="11" t="s">
        <v>483</v>
      </c>
      <c r="C381" s="11" t="s">
        <v>484</v>
      </c>
      <c r="D381" s="12">
        <v>1015042</v>
      </c>
      <c r="E381" s="12">
        <v>2</v>
      </c>
      <c r="F381" s="12"/>
      <c r="G381" s="12">
        <v>960</v>
      </c>
      <c r="H381" s="12">
        <v>15.1</v>
      </c>
      <c r="I381" s="12"/>
      <c r="J381" s="12" t="s">
        <v>413</v>
      </c>
      <c r="K381" s="12" t="b">
        <v>1</v>
      </c>
      <c r="L381" s="12">
        <v>0</v>
      </c>
      <c r="M381" s="8">
        <v>2014</v>
      </c>
      <c r="N381" s="9">
        <v>0</v>
      </c>
      <c r="O381" s="9">
        <v>0</v>
      </c>
      <c r="P381" s="9">
        <v>0</v>
      </c>
      <c r="Q381" s="9">
        <v>0</v>
      </c>
      <c r="R381" s="13">
        <v>41815</v>
      </c>
      <c r="S381" s="13">
        <v>41815</v>
      </c>
    </row>
    <row r="382" spans="1:19">
      <c r="A382" s="10">
        <v>2014</v>
      </c>
      <c r="B382" s="11" t="s">
        <v>483</v>
      </c>
      <c r="C382" s="11" t="s">
        <v>484</v>
      </c>
      <c r="D382" s="12">
        <v>1015042</v>
      </c>
      <c r="E382" s="12">
        <v>2</v>
      </c>
      <c r="F382" s="12"/>
      <c r="G382" s="12">
        <v>960</v>
      </c>
      <c r="H382" s="12">
        <v>15.1</v>
      </c>
      <c r="I382" s="12"/>
      <c r="J382" s="12" t="s">
        <v>413</v>
      </c>
      <c r="K382" s="12" t="b">
        <v>1</v>
      </c>
      <c r="L382" s="12">
        <v>2</v>
      </c>
      <c r="M382" s="8">
        <v>2016</v>
      </c>
      <c r="N382" s="9">
        <v>0</v>
      </c>
      <c r="O382" s="9">
        <v>0</v>
      </c>
      <c r="P382" s="9">
        <v>0</v>
      </c>
      <c r="Q382" s="9">
        <v>0</v>
      </c>
      <c r="R382" s="13">
        <v>41815</v>
      </c>
      <c r="S382" s="13">
        <v>41815</v>
      </c>
    </row>
    <row r="383" spans="1:19">
      <c r="A383" s="10">
        <v>2014</v>
      </c>
      <c r="B383" s="11" t="s">
        <v>483</v>
      </c>
      <c r="C383" s="11" t="s">
        <v>484</v>
      </c>
      <c r="D383" s="12">
        <v>1015042</v>
      </c>
      <c r="E383" s="12">
        <v>2</v>
      </c>
      <c r="F383" s="12"/>
      <c r="G383" s="12">
        <v>960</v>
      </c>
      <c r="H383" s="12">
        <v>15.1</v>
      </c>
      <c r="I383" s="12"/>
      <c r="J383" s="12" t="s">
        <v>413</v>
      </c>
      <c r="K383" s="12" t="b">
        <v>1</v>
      </c>
      <c r="L383" s="12">
        <v>4</v>
      </c>
      <c r="M383" s="8">
        <v>2018</v>
      </c>
      <c r="N383" s="9">
        <v>0</v>
      </c>
      <c r="O383" s="9">
        <v>0</v>
      </c>
      <c r="P383" s="9">
        <v>0</v>
      </c>
      <c r="Q383" s="9">
        <v>0</v>
      </c>
      <c r="R383" s="13">
        <v>41815</v>
      </c>
      <c r="S383" s="13">
        <v>41815</v>
      </c>
    </row>
    <row r="384" spans="1:19">
      <c r="A384" s="10">
        <v>2014</v>
      </c>
      <c r="B384" s="11" t="s">
        <v>483</v>
      </c>
      <c r="C384" s="11" t="s">
        <v>484</v>
      </c>
      <c r="D384" s="12">
        <v>1015042</v>
      </c>
      <c r="E384" s="12">
        <v>2</v>
      </c>
      <c r="F384" s="12"/>
      <c r="G384" s="12">
        <v>960</v>
      </c>
      <c r="H384" s="12">
        <v>15.1</v>
      </c>
      <c r="I384" s="12"/>
      <c r="J384" s="12" t="s">
        <v>413</v>
      </c>
      <c r="K384" s="12" t="b">
        <v>1</v>
      </c>
      <c r="L384" s="12">
        <v>8</v>
      </c>
      <c r="M384" s="8">
        <v>2022</v>
      </c>
      <c r="N384" s="9">
        <v>0</v>
      </c>
      <c r="O384" s="9">
        <v>0</v>
      </c>
      <c r="P384" s="9">
        <v>0</v>
      </c>
      <c r="Q384" s="9">
        <v>0</v>
      </c>
      <c r="R384" s="13">
        <v>41815</v>
      </c>
      <c r="S384" s="13">
        <v>41815</v>
      </c>
    </row>
    <row r="385" spans="1:19">
      <c r="A385" s="10">
        <v>2014</v>
      </c>
      <c r="B385" s="11" t="s">
        <v>483</v>
      </c>
      <c r="C385" s="11" t="s">
        <v>484</v>
      </c>
      <c r="D385" s="12">
        <v>1015042</v>
      </c>
      <c r="E385" s="12">
        <v>2</v>
      </c>
      <c r="F385" s="12"/>
      <c r="G385" s="12">
        <v>960</v>
      </c>
      <c r="H385" s="12">
        <v>15.1</v>
      </c>
      <c r="I385" s="12"/>
      <c r="J385" s="12" t="s">
        <v>413</v>
      </c>
      <c r="K385" s="12" t="b">
        <v>1</v>
      </c>
      <c r="L385" s="12">
        <v>3</v>
      </c>
      <c r="M385" s="8">
        <v>2017</v>
      </c>
      <c r="N385" s="9">
        <v>0</v>
      </c>
      <c r="O385" s="9">
        <v>0</v>
      </c>
      <c r="P385" s="9">
        <v>0</v>
      </c>
      <c r="Q385" s="9">
        <v>0</v>
      </c>
      <c r="R385" s="13">
        <v>41815</v>
      </c>
      <c r="S385" s="13">
        <v>41815</v>
      </c>
    </row>
    <row r="386" spans="1:19">
      <c r="A386" s="10">
        <v>2014</v>
      </c>
      <c r="B386" s="11" t="s">
        <v>483</v>
      </c>
      <c r="C386" s="11" t="s">
        <v>484</v>
      </c>
      <c r="D386" s="12">
        <v>1015042</v>
      </c>
      <c r="E386" s="12">
        <v>2</v>
      </c>
      <c r="F386" s="12"/>
      <c r="G386" s="12">
        <v>960</v>
      </c>
      <c r="H386" s="12">
        <v>15.1</v>
      </c>
      <c r="I386" s="12"/>
      <c r="J386" s="12" t="s">
        <v>413</v>
      </c>
      <c r="K386" s="12" t="b">
        <v>1</v>
      </c>
      <c r="L386" s="12">
        <v>6</v>
      </c>
      <c r="M386" s="8">
        <v>2020</v>
      </c>
      <c r="N386" s="9">
        <v>0</v>
      </c>
      <c r="O386" s="9">
        <v>0</v>
      </c>
      <c r="P386" s="9">
        <v>0</v>
      </c>
      <c r="Q386" s="9">
        <v>0</v>
      </c>
      <c r="R386" s="13">
        <v>41815</v>
      </c>
      <c r="S386" s="13">
        <v>41815</v>
      </c>
    </row>
    <row r="387" spans="1:19">
      <c r="A387" s="10">
        <v>2014</v>
      </c>
      <c r="B387" s="11" t="s">
        <v>483</v>
      </c>
      <c r="C387" s="11" t="s">
        <v>484</v>
      </c>
      <c r="D387" s="12">
        <v>1015042</v>
      </c>
      <c r="E387" s="12">
        <v>2</v>
      </c>
      <c r="F387" s="12"/>
      <c r="G387" s="12">
        <v>960</v>
      </c>
      <c r="H387" s="12">
        <v>15.1</v>
      </c>
      <c r="I387" s="12"/>
      <c r="J387" s="12" t="s">
        <v>413</v>
      </c>
      <c r="K387" s="12" t="b">
        <v>1</v>
      </c>
      <c r="L387" s="12">
        <v>1</v>
      </c>
      <c r="M387" s="8">
        <v>2015</v>
      </c>
      <c r="N387" s="9">
        <v>0</v>
      </c>
      <c r="O387" s="9">
        <v>0</v>
      </c>
      <c r="P387" s="9">
        <v>0</v>
      </c>
      <c r="Q387" s="9">
        <v>0</v>
      </c>
      <c r="R387" s="13">
        <v>41815</v>
      </c>
      <c r="S387" s="13">
        <v>41815</v>
      </c>
    </row>
    <row r="388" spans="1:19">
      <c r="A388" s="10">
        <v>2014</v>
      </c>
      <c r="B388" s="11" t="s">
        <v>483</v>
      </c>
      <c r="C388" s="11" t="s">
        <v>484</v>
      </c>
      <c r="D388" s="12">
        <v>1015042</v>
      </c>
      <c r="E388" s="12">
        <v>2</v>
      </c>
      <c r="F388" s="12"/>
      <c r="G388" s="12">
        <v>40</v>
      </c>
      <c r="H388" s="12" t="s">
        <v>43</v>
      </c>
      <c r="I388" s="12"/>
      <c r="J388" s="12" t="s">
        <v>44</v>
      </c>
      <c r="K388" s="12" t="b">
        <v>1</v>
      </c>
      <c r="L388" s="12">
        <v>8</v>
      </c>
      <c r="M388" s="8">
        <v>2022</v>
      </c>
      <c r="N388" s="9">
        <v>4554.66</v>
      </c>
      <c r="O388" s="9">
        <v>7007.11</v>
      </c>
      <c r="P388" s="9">
        <v>6000</v>
      </c>
      <c r="Q388" s="9">
        <v>7156.61</v>
      </c>
      <c r="R388" s="13">
        <v>41815</v>
      </c>
      <c r="S388" s="13">
        <v>41815</v>
      </c>
    </row>
    <row r="389" spans="1:19">
      <c r="A389" s="10">
        <v>2014</v>
      </c>
      <c r="B389" s="11" t="s">
        <v>483</v>
      </c>
      <c r="C389" s="11" t="s">
        <v>484</v>
      </c>
      <c r="D389" s="12">
        <v>1015042</v>
      </c>
      <c r="E389" s="12">
        <v>2</v>
      </c>
      <c r="F389" s="12"/>
      <c r="G389" s="12">
        <v>40</v>
      </c>
      <c r="H389" s="12" t="s">
        <v>43</v>
      </c>
      <c r="I389" s="12"/>
      <c r="J389" s="12" t="s">
        <v>44</v>
      </c>
      <c r="K389" s="12" t="b">
        <v>1</v>
      </c>
      <c r="L389" s="12">
        <v>2</v>
      </c>
      <c r="M389" s="8">
        <v>2016</v>
      </c>
      <c r="N389" s="9">
        <v>4554.66</v>
      </c>
      <c r="O389" s="9">
        <v>7007.11</v>
      </c>
      <c r="P389" s="9">
        <v>6000</v>
      </c>
      <c r="Q389" s="9">
        <v>7156.61</v>
      </c>
      <c r="R389" s="13">
        <v>41815</v>
      </c>
      <c r="S389" s="13">
        <v>41815</v>
      </c>
    </row>
    <row r="390" spans="1:19">
      <c r="A390" s="10">
        <v>2014</v>
      </c>
      <c r="B390" s="11" t="s">
        <v>483</v>
      </c>
      <c r="C390" s="11" t="s">
        <v>484</v>
      </c>
      <c r="D390" s="12">
        <v>1015042</v>
      </c>
      <c r="E390" s="12">
        <v>2</v>
      </c>
      <c r="F390" s="12"/>
      <c r="G390" s="12">
        <v>40</v>
      </c>
      <c r="H390" s="12" t="s">
        <v>43</v>
      </c>
      <c r="I390" s="12"/>
      <c r="J390" s="12" t="s">
        <v>44</v>
      </c>
      <c r="K390" s="12" t="b">
        <v>1</v>
      </c>
      <c r="L390" s="12">
        <v>0</v>
      </c>
      <c r="M390" s="8">
        <v>2014</v>
      </c>
      <c r="N390" s="9">
        <v>4554.66</v>
      </c>
      <c r="O390" s="9">
        <v>7007.11</v>
      </c>
      <c r="P390" s="9">
        <v>6000</v>
      </c>
      <c r="Q390" s="9">
        <v>7156.61</v>
      </c>
      <c r="R390" s="13">
        <v>41815</v>
      </c>
      <c r="S390" s="13">
        <v>41815</v>
      </c>
    </row>
    <row r="391" spans="1:19">
      <c r="A391" s="10">
        <v>2014</v>
      </c>
      <c r="B391" s="11" t="s">
        <v>483</v>
      </c>
      <c r="C391" s="11" t="s">
        <v>484</v>
      </c>
      <c r="D391" s="12">
        <v>1015042</v>
      </c>
      <c r="E391" s="12">
        <v>2</v>
      </c>
      <c r="F391" s="12"/>
      <c r="G391" s="12">
        <v>40</v>
      </c>
      <c r="H391" s="12" t="s">
        <v>43</v>
      </c>
      <c r="I391" s="12"/>
      <c r="J391" s="12" t="s">
        <v>44</v>
      </c>
      <c r="K391" s="12" t="b">
        <v>1</v>
      </c>
      <c r="L391" s="12">
        <v>5</v>
      </c>
      <c r="M391" s="8">
        <v>2019</v>
      </c>
      <c r="N391" s="9">
        <v>4554.66</v>
      </c>
      <c r="O391" s="9">
        <v>7007.11</v>
      </c>
      <c r="P391" s="9">
        <v>6000</v>
      </c>
      <c r="Q391" s="9">
        <v>7156.61</v>
      </c>
      <c r="R391" s="13">
        <v>41815</v>
      </c>
      <c r="S391" s="13">
        <v>41815</v>
      </c>
    </row>
    <row r="392" spans="1:19">
      <c r="A392" s="10">
        <v>2014</v>
      </c>
      <c r="B392" s="11" t="s">
        <v>483</v>
      </c>
      <c r="C392" s="11" t="s">
        <v>484</v>
      </c>
      <c r="D392" s="12">
        <v>1015042</v>
      </c>
      <c r="E392" s="12">
        <v>2</v>
      </c>
      <c r="F392" s="12"/>
      <c r="G392" s="12">
        <v>40</v>
      </c>
      <c r="H392" s="12" t="s">
        <v>43</v>
      </c>
      <c r="I392" s="12"/>
      <c r="J392" s="12" t="s">
        <v>44</v>
      </c>
      <c r="K392" s="12" t="b">
        <v>1</v>
      </c>
      <c r="L392" s="12">
        <v>1</v>
      </c>
      <c r="M392" s="8">
        <v>2015</v>
      </c>
      <c r="N392" s="9">
        <v>4554.66</v>
      </c>
      <c r="O392" s="9">
        <v>7007.11</v>
      </c>
      <c r="P392" s="9">
        <v>6000</v>
      </c>
      <c r="Q392" s="9">
        <v>7156.61</v>
      </c>
      <c r="R392" s="13">
        <v>41815</v>
      </c>
      <c r="S392" s="13">
        <v>41815</v>
      </c>
    </row>
    <row r="393" spans="1:19">
      <c r="A393" s="10">
        <v>2014</v>
      </c>
      <c r="B393" s="11" t="s">
        <v>483</v>
      </c>
      <c r="C393" s="11" t="s">
        <v>484</v>
      </c>
      <c r="D393" s="12">
        <v>1015042</v>
      </c>
      <c r="E393" s="12">
        <v>2</v>
      </c>
      <c r="F393" s="12"/>
      <c r="G393" s="12">
        <v>40</v>
      </c>
      <c r="H393" s="12" t="s">
        <v>43</v>
      </c>
      <c r="I393" s="12"/>
      <c r="J393" s="12" t="s">
        <v>44</v>
      </c>
      <c r="K393" s="12" t="b">
        <v>1</v>
      </c>
      <c r="L393" s="12">
        <v>6</v>
      </c>
      <c r="M393" s="8">
        <v>2020</v>
      </c>
      <c r="N393" s="9">
        <v>4554.66</v>
      </c>
      <c r="O393" s="9">
        <v>7007.11</v>
      </c>
      <c r="P393" s="9">
        <v>6000</v>
      </c>
      <c r="Q393" s="9">
        <v>7156.61</v>
      </c>
      <c r="R393" s="13">
        <v>41815</v>
      </c>
      <c r="S393" s="13">
        <v>41815</v>
      </c>
    </row>
    <row r="394" spans="1:19">
      <c r="A394" s="10">
        <v>2014</v>
      </c>
      <c r="B394" s="11" t="s">
        <v>483</v>
      </c>
      <c r="C394" s="11" t="s">
        <v>484</v>
      </c>
      <c r="D394" s="12">
        <v>1015042</v>
      </c>
      <c r="E394" s="12">
        <v>2</v>
      </c>
      <c r="F394" s="12"/>
      <c r="G394" s="12">
        <v>40</v>
      </c>
      <c r="H394" s="12" t="s">
        <v>43</v>
      </c>
      <c r="I394" s="12"/>
      <c r="J394" s="12" t="s">
        <v>44</v>
      </c>
      <c r="K394" s="12" t="b">
        <v>1</v>
      </c>
      <c r="L394" s="12">
        <v>3</v>
      </c>
      <c r="M394" s="8">
        <v>2017</v>
      </c>
      <c r="N394" s="9">
        <v>4554.66</v>
      </c>
      <c r="O394" s="9">
        <v>7007.11</v>
      </c>
      <c r="P394" s="9">
        <v>6000</v>
      </c>
      <c r="Q394" s="9">
        <v>7156.61</v>
      </c>
      <c r="R394" s="13">
        <v>41815</v>
      </c>
      <c r="S394" s="13">
        <v>41815</v>
      </c>
    </row>
    <row r="395" spans="1:19">
      <c r="A395" s="10">
        <v>2014</v>
      </c>
      <c r="B395" s="11" t="s">
        <v>483</v>
      </c>
      <c r="C395" s="11" t="s">
        <v>484</v>
      </c>
      <c r="D395" s="12">
        <v>1015042</v>
      </c>
      <c r="E395" s="12">
        <v>2</v>
      </c>
      <c r="F395" s="12"/>
      <c r="G395" s="12">
        <v>40</v>
      </c>
      <c r="H395" s="12" t="s">
        <v>43</v>
      </c>
      <c r="I395" s="12"/>
      <c r="J395" s="12" t="s">
        <v>44</v>
      </c>
      <c r="K395" s="12" t="b">
        <v>1</v>
      </c>
      <c r="L395" s="12">
        <v>4</v>
      </c>
      <c r="M395" s="8">
        <v>2018</v>
      </c>
      <c r="N395" s="9">
        <v>4554.66</v>
      </c>
      <c r="O395" s="9">
        <v>7007.11</v>
      </c>
      <c r="P395" s="9">
        <v>6000</v>
      </c>
      <c r="Q395" s="9">
        <v>7156.61</v>
      </c>
      <c r="R395" s="13">
        <v>41815</v>
      </c>
      <c r="S395" s="13">
        <v>41815</v>
      </c>
    </row>
    <row r="396" spans="1:19">
      <c r="A396" s="10">
        <v>2014</v>
      </c>
      <c r="B396" s="11" t="s">
        <v>483</v>
      </c>
      <c r="C396" s="11" t="s">
        <v>484</v>
      </c>
      <c r="D396" s="12">
        <v>1015042</v>
      </c>
      <c r="E396" s="12">
        <v>2</v>
      </c>
      <c r="F396" s="12"/>
      <c r="G396" s="12">
        <v>40</v>
      </c>
      <c r="H396" s="12" t="s">
        <v>43</v>
      </c>
      <c r="I396" s="12"/>
      <c r="J396" s="12" t="s">
        <v>44</v>
      </c>
      <c r="K396" s="12" t="b">
        <v>1</v>
      </c>
      <c r="L396" s="12">
        <v>7</v>
      </c>
      <c r="M396" s="8">
        <v>2021</v>
      </c>
      <c r="N396" s="9">
        <v>4554.66</v>
      </c>
      <c r="O396" s="9">
        <v>7007.11</v>
      </c>
      <c r="P396" s="9">
        <v>6000</v>
      </c>
      <c r="Q396" s="9">
        <v>7156.61</v>
      </c>
      <c r="R396" s="13">
        <v>41815</v>
      </c>
      <c r="S396" s="13">
        <v>41815</v>
      </c>
    </row>
    <row r="397" spans="1:19">
      <c r="A397" s="10">
        <v>2014</v>
      </c>
      <c r="B397" s="11" t="s">
        <v>483</v>
      </c>
      <c r="C397" s="11" t="s">
        <v>484</v>
      </c>
      <c r="D397" s="12">
        <v>1015042</v>
      </c>
      <c r="E397" s="12">
        <v>2</v>
      </c>
      <c r="F397" s="12"/>
      <c r="G397" s="12">
        <v>80</v>
      </c>
      <c r="H397" s="12" t="s">
        <v>51</v>
      </c>
      <c r="I397" s="12"/>
      <c r="J397" s="12" t="s">
        <v>52</v>
      </c>
      <c r="K397" s="12" t="b">
        <v>1</v>
      </c>
      <c r="L397" s="12">
        <v>5</v>
      </c>
      <c r="M397" s="8">
        <v>2019</v>
      </c>
      <c r="N397" s="9">
        <v>1842687.7</v>
      </c>
      <c r="O397" s="9">
        <v>1375126</v>
      </c>
      <c r="P397" s="9">
        <v>1353806.44</v>
      </c>
      <c r="Q397" s="9">
        <v>1427155.41</v>
      </c>
      <c r="R397" s="13">
        <v>41815</v>
      </c>
      <c r="S397" s="13">
        <v>41815</v>
      </c>
    </row>
    <row r="398" spans="1:19">
      <c r="A398" s="10">
        <v>2014</v>
      </c>
      <c r="B398" s="11" t="s">
        <v>483</v>
      </c>
      <c r="C398" s="11" t="s">
        <v>484</v>
      </c>
      <c r="D398" s="12">
        <v>1015042</v>
      </c>
      <c r="E398" s="12">
        <v>2</v>
      </c>
      <c r="F398" s="12"/>
      <c r="G398" s="12">
        <v>80</v>
      </c>
      <c r="H398" s="12" t="s">
        <v>51</v>
      </c>
      <c r="I398" s="12"/>
      <c r="J398" s="12" t="s">
        <v>52</v>
      </c>
      <c r="K398" s="12" t="b">
        <v>1</v>
      </c>
      <c r="L398" s="12">
        <v>6</v>
      </c>
      <c r="M398" s="8">
        <v>2020</v>
      </c>
      <c r="N398" s="9">
        <v>1842687.7</v>
      </c>
      <c r="O398" s="9">
        <v>1375126</v>
      </c>
      <c r="P398" s="9">
        <v>1353806.44</v>
      </c>
      <c r="Q398" s="9">
        <v>1427155.41</v>
      </c>
      <c r="R398" s="13">
        <v>41815</v>
      </c>
      <c r="S398" s="13">
        <v>41815</v>
      </c>
    </row>
    <row r="399" spans="1:19">
      <c r="A399" s="10">
        <v>2014</v>
      </c>
      <c r="B399" s="11" t="s">
        <v>483</v>
      </c>
      <c r="C399" s="11" t="s">
        <v>484</v>
      </c>
      <c r="D399" s="12">
        <v>1015042</v>
      </c>
      <c r="E399" s="12">
        <v>2</v>
      </c>
      <c r="F399" s="12"/>
      <c r="G399" s="12">
        <v>80</v>
      </c>
      <c r="H399" s="12" t="s">
        <v>51</v>
      </c>
      <c r="I399" s="12"/>
      <c r="J399" s="12" t="s">
        <v>52</v>
      </c>
      <c r="K399" s="12" t="b">
        <v>1</v>
      </c>
      <c r="L399" s="12">
        <v>2</v>
      </c>
      <c r="M399" s="8">
        <v>2016</v>
      </c>
      <c r="N399" s="9">
        <v>1842687.7</v>
      </c>
      <c r="O399" s="9">
        <v>1375126</v>
      </c>
      <c r="P399" s="9">
        <v>1353806.44</v>
      </c>
      <c r="Q399" s="9">
        <v>1427155.41</v>
      </c>
      <c r="R399" s="13">
        <v>41815</v>
      </c>
      <c r="S399" s="13">
        <v>41815</v>
      </c>
    </row>
    <row r="400" spans="1:19">
      <c r="A400" s="10">
        <v>2014</v>
      </c>
      <c r="B400" s="11" t="s">
        <v>483</v>
      </c>
      <c r="C400" s="11" t="s">
        <v>484</v>
      </c>
      <c r="D400" s="12">
        <v>1015042</v>
      </c>
      <c r="E400" s="12">
        <v>2</v>
      </c>
      <c r="F400" s="12"/>
      <c r="G400" s="12">
        <v>80</v>
      </c>
      <c r="H400" s="12" t="s">
        <v>51</v>
      </c>
      <c r="I400" s="12"/>
      <c r="J400" s="12" t="s">
        <v>52</v>
      </c>
      <c r="K400" s="12" t="b">
        <v>1</v>
      </c>
      <c r="L400" s="12">
        <v>1</v>
      </c>
      <c r="M400" s="8">
        <v>2015</v>
      </c>
      <c r="N400" s="9">
        <v>1842687.7</v>
      </c>
      <c r="O400" s="9">
        <v>1375126</v>
      </c>
      <c r="P400" s="9">
        <v>1353806.44</v>
      </c>
      <c r="Q400" s="9">
        <v>1427155.41</v>
      </c>
      <c r="R400" s="13">
        <v>41815</v>
      </c>
      <c r="S400" s="13">
        <v>41815</v>
      </c>
    </row>
    <row r="401" spans="1:19">
      <c r="A401" s="10">
        <v>2014</v>
      </c>
      <c r="B401" s="11" t="s">
        <v>483</v>
      </c>
      <c r="C401" s="11" t="s">
        <v>484</v>
      </c>
      <c r="D401" s="12">
        <v>1015042</v>
      </c>
      <c r="E401" s="12">
        <v>2</v>
      </c>
      <c r="F401" s="12"/>
      <c r="G401" s="12">
        <v>80</v>
      </c>
      <c r="H401" s="12" t="s">
        <v>51</v>
      </c>
      <c r="I401" s="12"/>
      <c r="J401" s="12" t="s">
        <v>52</v>
      </c>
      <c r="K401" s="12" t="b">
        <v>1</v>
      </c>
      <c r="L401" s="12">
        <v>0</v>
      </c>
      <c r="M401" s="8">
        <v>2014</v>
      </c>
      <c r="N401" s="9">
        <v>1842687.7</v>
      </c>
      <c r="O401" s="9">
        <v>1375126</v>
      </c>
      <c r="P401" s="9">
        <v>1353806.44</v>
      </c>
      <c r="Q401" s="9">
        <v>1427155.41</v>
      </c>
      <c r="R401" s="13">
        <v>41815</v>
      </c>
      <c r="S401" s="13">
        <v>41815</v>
      </c>
    </row>
    <row r="402" spans="1:19">
      <c r="A402" s="10">
        <v>2014</v>
      </c>
      <c r="B402" s="11" t="s">
        <v>483</v>
      </c>
      <c r="C402" s="11" t="s">
        <v>484</v>
      </c>
      <c r="D402" s="12">
        <v>1015042</v>
      </c>
      <c r="E402" s="12">
        <v>2</v>
      </c>
      <c r="F402" s="12"/>
      <c r="G402" s="12">
        <v>80</v>
      </c>
      <c r="H402" s="12" t="s">
        <v>51</v>
      </c>
      <c r="I402" s="12"/>
      <c r="J402" s="12" t="s">
        <v>52</v>
      </c>
      <c r="K402" s="12" t="b">
        <v>1</v>
      </c>
      <c r="L402" s="12">
        <v>7</v>
      </c>
      <c r="M402" s="8">
        <v>2021</v>
      </c>
      <c r="N402" s="9">
        <v>1842687.7</v>
      </c>
      <c r="O402" s="9">
        <v>1375126</v>
      </c>
      <c r="P402" s="9">
        <v>1353806.44</v>
      </c>
      <c r="Q402" s="9">
        <v>1427155.41</v>
      </c>
      <c r="R402" s="13">
        <v>41815</v>
      </c>
      <c r="S402" s="13">
        <v>41815</v>
      </c>
    </row>
    <row r="403" spans="1:19">
      <c r="A403" s="10">
        <v>2014</v>
      </c>
      <c r="B403" s="11" t="s">
        <v>483</v>
      </c>
      <c r="C403" s="11" t="s">
        <v>484</v>
      </c>
      <c r="D403" s="12">
        <v>1015042</v>
      </c>
      <c r="E403" s="12">
        <v>2</v>
      </c>
      <c r="F403" s="12"/>
      <c r="G403" s="12">
        <v>80</v>
      </c>
      <c r="H403" s="12" t="s">
        <v>51</v>
      </c>
      <c r="I403" s="12"/>
      <c r="J403" s="12" t="s">
        <v>52</v>
      </c>
      <c r="K403" s="12" t="b">
        <v>1</v>
      </c>
      <c r="L403" s="12">
        <v>4</v>
      </c>
      <c r="M403" s="8">
        <v>2018</v>
      </c>
      <c r="N403" s="9">
        <v>1842687.7</v>
      </c>
      <c r="O403" s="9">
        <v>1375126</v>
      </c>
      <c r="P403" s="9">
        <v>1353806.44</v>
      </c>
      <c r="Q403" s="9">
        <v>1427155.41</v>
      </c>
      <c r="R403" s="13">
        <v>41815</v>
      </c>
      <c r="S403" s="13">
        <v>41815</v>
      </c>
    </row>
    <row r="404" spans="1:19">
      <c r="A404" s="10">
        <v>2014</v>
      </c>
      <c r="B404" s="11" t="s">
        <v>483</v>
      </c>
      <c r="C404" s="11" t="s">
        <v>484</v>
      </c>
      <c r="D404" s="12">
        <v>1015042</v>
      </c>
      <c r="E404" s="12">
        <v>2</v>
      </c>
      <c r="F404" s="12"/>
      <c r="G404" s="12">
        <v>80</v>
      </c>
      <c r="H404" s="12" t="s">
        <v>51</v>
      </c>
      <c r="I404" s="12"/>
      <c r="J404" s="12" t="s">
        <v>52</v>
      </c>
      <c r="K404" s="12" t="b">
        <v>1</v>
      </c>
      <c r="L404" s="12">
        <v>3</v>
      </c>
      <c r="M404" s="8">
        <v>2017</v>
      </c>
      <c r="N404" s="9">
        <v>1842687.7</v>
      </c>
      <c r="O404" s="9">
        <v>1375126</v>
      </c>
      <c r="P404" s="9">
        <v>1353806.44</v>
      </c>
      <c r="Q404" s="9">
        <v>1427155.41</v>
      </c>
      <c r="R404" s="13">
        <v>41815</v>
      </c>
      <c r="S404" s="13">
        <v>41815</v>
      </c>
    </row>
    <row r="405" spans="1:19">
      <c r="A405" s="10">
        <v>2014</v>
      </c>
      <c r="B405" s="11" t="s">
        <v>483</v>
      </c>
      <c r="C405" s="11" t="s">
        <v>484</v>
      </c>
      <c r="D405" s="12">
        <v>1015042</v>
      </c>
      <c r="E405" s="12">
        <v>2</v>
      </c>
      <c r="F405" s="12"/>
      <c r="G405" s="12">
        <v>80</v>
      </c>
      <c r="H405" s="12" t="s">
        <v>51</v>
      </c>
      <c r="I405" s="12"/>
      <c r="J405" s="12" t="s">
        <v>52</v>
      </c>
      <c r="K405" s="12" t="b">
        <v>1</v>
      </c>
      <c r="L405" s="12">
        <v>8</v>
      </c>
      <c r="M405" s="8">
        <v>2022</v>
      </c>
      <c r="N405" s="9">
        <v>1842687.7</v>
      </c>
      <c r="O405" s="9">
        <v>1375126</v>
      </c>
      <c r="P405" s="9">
        <v>1353806.44</v>
      </c>
      <c r="Q405" s="9">
        <v>1427155.41</v>
      </c>
      <c r="R405" s="13">
        <v>41815</v>
      </c>
      <c r="S405" s="13">
        <v>41815</v>
      </c>
    </row>
    <row r="406" spans="1:19">
      <c r="A406" s="10">
        <v>2014</v>
      </c>
      <c r="B406" s="11" t="s">
        <v>483</v>
      </c>
      <c r="C406" s="11" t="s">
        <v>484</v>
      </c>
      <c r="D406" s="12">
        <v>1015042</v>
      </c>
      <c r="E406" s="12">
        <v>2</v>
      </c>
      <c r="F406" s="12"/>
      <c r="G406" s="12">
        <v>760</v>
      </c>
      <c r="H406" s="12">
        <v>12.4</v>
      </c>
      <c r="I406" s="12"/>
      <c r="J406" s="12" t="s">
        <v>113</v>
      </c>
      <c r="K406" s="12" t="b">
        <v>1</v>
      </c>
      <c r="L406" s="12">
        <v>6</v>
      </c>
      <c r="M406" s="8">
        <v>2020</v>
      </c>
      <c r="N406" s="9">
        <v>1719165.08</v>
      </c>
      <c r="O406" s="9">
        <v>1208884.24</v>
      </c>
      <c r="P406" s="9">
        <v>1334069</v>
      </c>
      <c r="Q406" s="9">
        <v>1364426.36</v>
      </c>
      <c r="R406" s="13">
        <v>41815</v>
      </c>
      <c r="S406" s="13">
        <v>41815</v>
      </c>
    </row>
    <row r="407" spans="1:19">
      <c r="A407" s="10">
        <v>2014</v>
      </c>
      <c r="B407" s="11" t="s">
        <v>483</v>
      </c>
      <c r="C407" s="11" t="s">
        <v>484</v>
      </c>
      <c r="D407" s="12">
        <v>1015042</v>
      </c>
      <c r="E407" s="12">
        <v>2</v>
      </c>
      <c r="F407" s="12"/>
      <c r="G407" s="12">
        <v>760</v>
      </c>
      <c r="H407" s="12">
        <v>12.4</v>
      </c>
      <c r="I407" s="12"/>
      <c r="J407" s="12" t="s">
        <v>113</v>
      </c>
      <c r="K407" s="12" t="b">
        <v>1</v>
      </c>
      <c r="L407" s="12">
        <v>7</v>
      </c>
      <c r="M407" s="8">
        <v>2021</v>
      </c>
      <c r="N407" s="9">
        <v>1719165.08</v>
      </c>
      <c r="O407" s="9">
        <v>1208884.24</v>
      </c>
      <c r="P407" s="9">
        <v>1334069</v>
      </c>
      <c r="Q407" s="9">
        <v>1364426.36</v>
      </c>
      <c r="R407" s="13">
        <v>41815</v>
      </c>
      <c r="S407" s="13">
        <v>41815</v>
      </c>
    </row>
    <row r="408" spans="1:19">
      <c r="A408" s="10">
        <v>2014</v>
      </c>
      <c r="B408" s="11" t="s">
        <v>483</v>
      </c>
      <c r="C408" s="11" t="s">
        <v>484</v>
      </c>
      <c r="D408" s="12">
        <v>1015042</v>
      </c>
      <c r="E408" s="12">
        <v>2</v>
      </c>
      <c r="F408" s="12"/>
      <c r="G408" s="12">
        <v>760</v>
      </c>
      <c r="H408" s="12">
        <v>12.4</v>
      </c>
      <c r="I408" s="12"/>
      <c r="J408" s="12" t="s">
        <v>113</v>
      </c>
      <c r="K408" s="12" t="b">
        <v>1</v>
      </c>
      <c r="L408" s="12">
        <v>5</v>
      </c>
      <c r="M408" s="8">
        <v>2019</v>
      </c>
      <c r="N408" s="9">
        <v>1719165.08</v>
      </c>
      <c r="O408" s="9">
        <v>1208884.24</v>
      </c>
      <c r="P408" s="9">
        <v>1334069</v>
      </c>
      <c r="Q408" s="9">
        <v>1364426.36</v>
      </c>
      <c r="R408" s="13">
        <v>41815</v>
      </c>
      <c r="S408" s="13">
        <v>41815</v>
      </c>
    </row>
    <row r="409" spans="1:19">
      <c r="A409" s="10">
        <v>2014</v>
      </c>
      <c r="B409" s="11" t="s">
        <v>483</v>
      </c>
      <c r="C409" s="11" t="s">
        <v>484</v>
      </c>
      <c r="D409" s="12">
        <v>1015042</v>
      </c>
      <c r="E409" s="12">
        <v>2</v>
      </c>
      <c r="F409" s="12"/>
      <c r="G409" s="12">
        <v>760</v>
      </c>
      <c r="H409" s="12">
        <v>12.4</v>
      </c>
      <c r="I409" s="12"/>
      <c r="J409" s="12" t="s">
        <v>113</v>
      </c>
      <c r="K409" s="12" t="b">
        <v>1</v>
      </c>
      <c r="L409" s="12">
        <v>1</v>
      </c>
      <c r="M409" s="8">
        <v>2015</v>
      </c>
      <c r="N409" s="9">
        <v>1719165.08</v>
      </c>
      <c r="O409" s="9">
        <v>1208884.24</v>
      </c>
      <c r="P409" s="9">
        <v>1334069</v>
      </c>
      <c r="Q409" s="9">
        <v>1364426.36</v>
      </c>
      <c r="R409" s="13">
        <v>41815</v>
      </c>
      <c r="S409" s="13">
        <v>41815</v>
      </c>
    </row>
    <row r="410" spans="1:19">
      <c r="A410" s="10">
        <v>2014</v>
      </c>
      <c r="B410" s="11" t="s">
        <v>483</v>
      </c>
      <c r="C410" s="11" t="s">
        <v>484</v>
      </c>
      <c r="D410" s="12">
        <v>1015042</v>
      </c>
      <c r="E410" s="12">
        <v>2</v>
      </c>
      <c r="F410" s="12"/>
      <c r="G410" s="12">
        <v>760</v>
      </c>
      <c r="H410" s="12">
        <v>12.4</v>
      </c>
      <c r="I410" s="12"/>
      <c r="J410" s="12" t="s">
        <v>113</v>
      </c>
      <c r="K410" s="12" t="b">
        <v>1</v>
      </c>
      <c r="L410" s="12">
        <v>8</v>
      </c>
      <c r="M410" s="8">
        <v>2022</v>
      </c>
      <c r="N410" s="9">
        <v>1719165.08</v>
      </c>
      <c r="O410" s="9">
        <v>1208884.24</v>
      </c>
      <c r="P410" s="9">
        <v>1334069</v>
      </c>
      <c r="Q410" s="9">
        <v>1364426.36</v>
      </c>
      <c r="R410" s="13">
        <v>41815</v>
      </c>
      <c r="S410" s="13">
        <v>41815</v>
      </c>
    </row>
    <row r="411" spans="1:19">
      <c r="A411" s="10">
        <v>2014</v>
      </c>
      <c r="B411" s="11" t="s">
        <v>483</v>
      </c>
      <c r="C411" s="11" t="s">
        <v>484</v>
      </c>
      <c r="D411" s="12">
        <v>1015042</v>
      </c>
      <c r="E411" s="12">
        <v>2</v>
      </c>
      <c r="F411" s="12"/>
      <c r="G411" s="12">
        <v>760</v>
      </c>
      <c r="H411" s="12">
        <v>12.4</v>
      </c>
      <c r="I411" s="12"/>
      <c r="J411" s="12" t="s">
        <v>113</v>
      </c>
      <c r="K411" s="12" t="b">
        <v>1</v>
      </c>
      <c r="L411" s="12">
        <v>2</v>
      </c>
      <c r="M411" s="8">
        <v>2016</v>
      </c>
      <c r="N411" s="9">
        <v>1719165.08</v>
      </c>
      <c r="O411" s="9">
        <v>1208884.24</v>
      </c>
      <c r="P411" s="9">
        <v>1334069</v>
      </c>
      <c r="Q411" s="9">
        <v>1364426.36</v>
      </c>
      <c r="R411" s="13">
        <v>41815</v>
      </c>
      <c r="S411" s="13">
        <v>41815</v>
      </c>
    </row>
    <row r="412" spans="1:19">
      <c r="A412" s="10">
        <v>2014</v>
      </c>
      <c r="B412" s="11" t="s">
        <v>483</v>
      </c>
      <c r="C412" s="11" t="s">
        <v>484</v>
      </c>
      <c r="D412" s="12">
        <v>1015042</v>
      </c>
      <c r="E412" s="12">
        <v>2</v>
      </c>
      <c r="F412" s="12"/>
      <c r="G412" s="12">
        <v>760</v>
      </c>
      <c r="H412" s="12">
        <v>12.4</v>
      </c>
      <c r="I412" s="12"/>
      <c r="J412" s="12" t="s">
        <v>113</v>
      </c>
      <c r="K412" s="12" t="b">
        <v>1</v>
      </c>
      <c r="L412" s="12">
        <v>3</v>
      </c>
      <c r="M412" s="8">
        <v>2017</v>
      </c>
      <c r="N412" s="9">
        <v>1719165.08</v>
      </c>
      <c r="O412" s="9">
        <v>1208884.24</v>
      </c>
      <c r="P412" s="9">
        <v>1334069</v>
      </c>
      <c r="Q412" s="9">
        <v>1364426.36</v>
      </c>
      <c r="R412" s="13">
        <v>41815</v>
      </c>
      <c r="S412" s="13">
        <v>41815</v>
      </c>
    </row>
    <row r="413" spans="1:19">
      <c r="A413" s="10">
        <v>2014</v>
      </c>
      <c r="B413" s="11" t="s">
        <v>483</v>
      </c>
      <c r="C413" s="11" t="s">
        <v>484</v>
      </c>
      <c r="D413" s="12">
        <v>1015042</v>
      </c>
      <c r="E413" s="12">
        <v>2</v>
      </c>
      <c r="F413" s="12"/>
      <c r="G413" s="12">
        <v>760</v>
      </c>
      <c r="H413" s="12">
        <v>12.4</v>
      </c>
      <c r="I413" s="12"/>
      <c r="J413" s="12" t="s">
        <v>113</v>
      </c>
      <c r="K413" s="12" t="b">
        <v>1</v>
      </c>
      <c r="L413" s="12">
        <v>4</v>
      </c>
      <c r="M413" s="8">
        <v>2018</v>
      </c>
      <c r="N413" s="9">
        <v>1719165.08</v>
      </c>
      <c r="O413" s="9">
        <v>1208884.24</v>
      </c>
      <c r="P413" s="9">
        <v>1334069</v>
      </c>
      <c r="Q413" s="9">
        <v>1364426.36</v>
      </c>
      <c r="R413" s="13">
        <v>41815</v>
      </c>
      <c r="S413" s="13">
        <v>41815</v>
      </c>
    </row>
    <row r="414" spans="1:19">
      <c r="A414" s="10">
        <v>2014</v>
      </c>
      <c r="B414" s="11" t="s">
        <v>483</v>
      </c>
      <c r="C414" s="11" t="s">
        <v>484</v>
      </c>
      <c r="D414" s="12">
        <v>1015042</v>
      </c>
      <c r="E414" s="12">
        <v>2</v>
      </c>
      <c r="F414" s="12"/>
      <c r="G414" s="12">
        <v>760</v>
      </c>
      <c r="H414" s="12">
        <v>12.4</v>
      </c>
      <c r="I414" s="12"/>
      <c r="J414" s="12" t="s">
        <v>113</v>
      </c>
      <c r="K414" s="12" t="b">
        <v>1</v>
      </c>
      <c r="L414" s="12">
        <v>0</v>
      </c>
      <c r="M414" s="8">
        <v>2014</v>
      </c>
      <c r="N414" s="9">
        <v>1719165.08</v>
      </c>
      <c r="O414" s="9">
        <v>1208884.24</v>
      </c>
      <c r="P414" s="9">
        <v>1334069</v>
      </c>
      <c r="Q414" s="9">
        <v>1364426.36</v>
      </c>
      <c r="R414" s="13">
        <v>41815</v>
      </c>
      <c r="S414" s="13">
        <v>41815</v>
      </c>
    </row>
    <row r="415" spans="1:19">
      <c r="A415" s="10">
        <v>2014</v>
      </c>
      <c r="B415" s="11" t="s">
        <v>483</v>
      </c>
      <c r="C415" s="11" t="s">
        <v>484</v>
      </c>
      <c r="D415" s="12">
        <v>1015042</v>
      </c>
      <c r="E415" s="12">
        <v>2</v>
      </c>
      <c r="F415" s="12"/>
      <c r="G415" s="12">
        <v>765</v>
      </c>
      <c r="H415" s="12">
        <v>12.6</v>
      </c>
      <c r="I415" s="12"/>
      <c r="J415" s="12" t="s">
        <v>402</v>
      </c>
      <c r="K415" s="12" t="b">
        <v>1</v>
      </c>
      <c r="L415" s="12">
        <v>1</v>
      </c>
      <c r="M415" s="8">
        <v>2015</v>
      </c>
      <c r="N415" s="9">
        <v>0</v>
      </c>
      <c r="O415" s="9">
        <v>0</v>
      </c>
      <c r="P415" s="9">
        <v>0</v>
      </c>
      <c r="Q415" s="9">
        <v>0</v>
      </c>
      <c r="R415" s="13">
        <v>41815</v>
      </c>
      <c r="S415" s="13">
        <v>41815</v>
      </c>
    </row>
    <row r="416" spans="1:19">
      <c r="A416" s="10">
        <v>2014</v>
      </c>
      <c r="B416" s="11" t="s">
        <v>483</v>
      </c>
      <c r="C416" s="11" t="s">
        <v>484</v>
      </c>
      <c r="D416" s="12">
        <v>1015042</v>
      </c>
      <c r="E416" s="12">
        <v>2</v>
      </c>
      <c r="F416" s="12"/>
      <c r="G416" s="12">
        <v>765</v>
      </c>
      <c r="H416" s="12">
        <v>12.6</v>
      </c>
      <c r="I416" s="12"/>
      <c r="J416" s="12" t="s">
        <v>402</v>
      </c>
      <c r="K416" s="12" t="b">
        <v>1</v>
      </c>
      <c r="L416" s="12">
        <v>2</v>
      </c>
      <c r="M416" s="8">
        <v>2016</v>
      </c>
      <c r="N416" s="9">
        <v>0</v>
      </c>
      <c r="O416" s="9">
        <v>0</v>
      </c>
      <c r="P416" s="9">
        <v>0</v>
      </c>
      <c r="Q416" s="9">
        <v>0</v>
      </c>
      <c r="R416" s="13">
        <v>41815</v>
      </c>
      <c r="S416" s="13">
        <v>41815</v>
      </c>
    </row>
    <row r="417" spans="1:19">
      <c r="A417" s="10">
        <v>2014</v>
      </c>
      <c r="B417" s="11" t="s">
        <v>483</v>
      </c>
      <c r="C417" s="11" t="s">
        <v>484</v>
      </c>
      <c r="D417" s="12">
        <v>1015042</v>
      </c>
      <c r="E417" s="12">
        <v>2</v>
      </c>
      <c r="F417" s="12"/>
      <c r="G417" s="12">
        <v>765</v>
      </c>
      <c r="H417" s="12">
        <v>12.6</v>
      </c>
      <c r="I417" s="12"/>
      <c r="J417" s="12" t="s">
        <v>402</v>
      </c>
      <c r="K417" s="12" t="b">
        <v>1</v>
      </c>
      <c r="L417" s="12">
        <v>3</v>
      </c>
      <c r="M417" s="8">
        <v>2017</v>
      </c>
      <c r="N417" s="9">
        <v>0</v>
      </c>
      <c r="O417" s="9">
        <v>0</v>
      </c>
      <c r="P417" s="9">
        <v>0</v>
      </c>
      <c r="Q417" s="9">
        <v>0</v>
      </c>
      <c r="R417" s="13">
        <v>41815</v>
      </c>
      <c r="S417" s="13">
        <v>41815</v>
      </c>
    </row>
    <row r="418" spans="1:19">
      <c r="A418" s="10">
        <v>2014</v>
      </c>
      <c r="B418" s="11" t="s">
        <v>483</v>
      </c>
      <c r="C418" s="11" t="s">
        <v>484</v>
      </c>
      <c r="D418" s="12">
        <v>1015042</v>
      </c>
      <c r="E418" s="12">
        <v>2</v>
      </c>
      <c r="F418" s="12"/>
      <c r="G418" s="12">
        <v>870</v>
      </c>
      <c r="H418" s="12">
        <v>14</v>
      </c>
      <c r="I418" s="12"/>
      <c r="J418" s="12" t="s">
        <v>126</v>
      </c>
      <c r="K418" s="12" t="b">
        <v>1</v>
      </c>
      <c r="L418" s="12">
        <v>4</v>
      </c>
      <c r="M418" s="8">
        <v>2018</v>
      </c>
      <c r="N418" s="9">
        <v>0</v>
      </c>
      <c r="O418" s="9">
        <v>0</v>
      </c>
      <c r="P418" s="9">
        <v>0</v>
      </c>
      <c r="Q418" s="9">
        <v>0</v>
      </c>
      <c r="R418" s="13">
        <v>41815</v>
      </c>
      <c r="S418" s="13">
        <v>41815</v>
      </c>
    </row>
    <row r="419" spans="1:19">
      <c r="A419" s="10">
        <v>2014</v>
      </c>
      <c r="B419" s="11" t="s">
        <v>483</v>
      </c>
      <c r="C419" s="11" t="s">
        <v>484</v>
      </c>
      <c r="D419" s="12">
        <v>1015042</v>
      </c>
      <c r="E419" s="12">
        <v>2</v>
      </c>
      <c r="F419" s="12"/>
      <c r="G419" s="12">
        <v>870</v>
      </c>
      <c r="H419" s="12">
        <v>14</v>
      </c>
      <c r="I419" s="12"/>
      <c r="J419" s="12" t="s">
        <v>126</v>
      </c>
      <c r="K419" s="12" t="b">
        <v>1</v>
      </c>
      <c r="L419" s="12">
        <v>6</v>
      </c>
      <c r="M419" s="8">
        <v>2020</v>
      </c>
      <c r="N419" s="9">
        <v>0</v>
      </c>
      <c r="O419" s="9">
        <v>0</v>
      </c>
      <c r="P419" s="9">
        <v>0</v>
      </c>
      <c r="Q419" s="9">
        <v>0</v>
      </c>
      <c r="R419" s="13">
        <v>41815</v>
      </c>
      <c r="S419" s="13">
        <v>41815</v>
      </c>
    </row>
    <row r="420" spans="1:19">
      <c r="A420" s="10">
        <v>2014</v>
      </c>
      <c r="B420" s="11" t="s">
        <v>483</v>
      </c>
      <c r="C420" s="11" t="s">
        <v>484</v>
      </c>
      <c r="D420" s="12">
        <v>1015042</v>
      </c>
      <c r="E420" s="12">
        <v>2</v>
      </c>
      <c r="F420" s="12"/>
      <c r="G420" s="12">
        <v>765</v>
      </c>
      <c r="H420" s="12">
        <v>12.6</v>
      </c>
      <c r="I420" s="12"/>
      <c r="J420" s="12" t="s">
        <v>402</v>
      </c>
      <c r="K420" s="12" t="b">
        <v>1</v>
      </c>
      <c r="L420" s="12">
        <v>5</v>
      </c>
      <c r="M420" s="8">
        <v>2019</v>
      </c>
      <c r="N420" s="9">
        <v>0</v>
      </c>
      <c r="O420" s="9">
        <v>0</v>
      </c>
      <c r="P420" s="9">
        <v>0</v>
      </c>
      <c r="Q420" s="9">
        <v>0</v>
      </c>
      <c r="R420" s="13">
        <v>41815</v>
      </c>
      <c r="S420" s="13">
        <v>41815</v>
      </c>
    </row>
    <row r="421" spans="1:19">
      <c r="A421" s="10">
        <v>2014</v>
      </c>
      <c r="B421" s="11" t="s">
        <v>483</v>
      </c>
      <c r="C421" s="11" t="s">
        <v>484</v>
      </c>
      <c r="D421" s="12">
        <v>1015042</v>
      </c>
      <c r="E421" s="12">
        <v>2</v>
      </c>
      <c r="F421" s="12"/>
      <c r="G421" s="12">
        <v>765</v>
      </c>
      <c r="H421" s="12">
        <v>12.6</v>
      </c>
      <c r="I421" s="12"/>
      <c r="J421" s="12" t="s">
        <v>402</v>
      </c>
      <c r="K421" s="12" t="b">
        <v>1</v>
      </c>
      <c r="L421" s="12">
        <v>0</v>
      </c>
      <c r="M421" s="8">
        <v>2014</v>
      </c>
      <c r="N421" s="9">
        <v>0</v>
      </c>
      <c r="O421" s="9">
        <v>0</v>
      </c>
      <c r="P421" s="9">
        <v>0</v>
      </c>
      <c r="Q421" s="9">
        <v>0</v>
      </c>
      <c r="R421" s="13">
        <v>41815</v>
      </c>
      <c r="S421" s="13">
        <v>41815</v>
      </c>
    </row>
    <row r="422" spans="1:19">
      <c r="A422" s="10">
        <v>2014</v>
      </c>
      <c r="B422" s="11" t="s">
        <v>483</v>
      </c>
      <c r="C422" s="11" t="s">
        <v>484</v>
      </c>
      <c r="D422" s="12">
        <v>1015042</v>
      </c>
      <c r="E422" s="12">
        <v>2</v>
      </c>
      <c r="F422" s="12"/>
      <c r="G422" s="12">
        <v>765</v>
      </c>
      <c r="H422" s="12">
        <v>12.6</v>
      </c>
      <c r="I422" s="12"/>
      <c r="J422" s="12" t="s">
        <v>402</v>
      </c>
      <c r="K422" s="12" t="b">
        <v>1</v>
      </c>
      <c r="L422" s="12">
        <v>8</v>
      </c>
      <c r="M422" s="8">
        <v>2022</v>
      </c>
      <c r="N422" s="9">
        <v>0</v>
      </c>
      <c r="O422" s="9">
        <v>0</v>
      </c>
      <c r="P422" s="9">
        <v>0</v>
      </c>
      <c r="Q422" s="9">
        <v>0</v>
      </c>
      <c r="R422" s="13">
        <v>41815</v>
      </c>
      <c r="S422" s="13">
        <v>41815</v>
      </c>
    </row>
    <row r="423" spans="1:19">
      <c r="A423" s="10">
        <v>2014</v>
      </c>
      <c r="B423" s="11" t="s">
        <v>483</v>
      </c>
      <c r="C423" s="11" t="s">
        <v>484</v>
      </c>
      <c r="D423" s="12">
        <v>1015042</v>
      </c>
      <c r="E423" s="12">
        <v>2</v>
      </c>
      <c r="F423" s="12"/>
      <c r="G423" s="12">
        <v>765</v>
      </c>
      <c r="H423" s="12">
        <v>12.6</v>
      </c>
      <c r="I423" s="12"/>
      <c r="J423" s="12" t="s">
        <v>402</v>
      </c>
      <c r="K423" s="12" t="b">
        <v>1</v>
      </c>
      <c r="L423" s="12">
        <v>6</v>
      </c>
      <c r="M423" s="8">
        <v>2020</v>
      </c>
      <c r="N423" s="9">
        <v>0</v>
      </c>
      <c r="O423" s="9">
        <v>0</v>
      </c>
      <c r="P423" s="9">
        <v>0</v>
      </c>
      <c r="Q423" s="9">
        <v>0</v>
      </c>
      <c r="R423" s="13">
        <v>41815</v>
      </c>
      <c r="S423" s="13">
        <v>41815</v>
      </c>
    </row>
    <row r="424" spans="1:19">
      <c r="A424" s="10">
        <v>2014</v>
      </c>
      <c r="B424" s="11" t="s">
        <v>483</v>
      </c>
      <c r="C424" s="11" t="s">
        <v>484</v>
      </c>
      <c r="D424" s="12">
        <v>1015042</v>
      </c>
      <c r="E424" s="12">
        <v>2</v>
      </c>
      <c r="F424" s="12"/>
      <c r="G424" s="12">
        <v>765</v>
      </c>
      <c r="H424" s="12">
        <v>12.6</v>
      </c>
      <c r="I424" s="12"/>
      <c r="J424" s="12" t="s">
        <v>402</v>
      </c>
      <c r="K424" s="12" t="b">
        <v>1</v>
      </c>
      <c r="L424" s="12">
        <v>7</v>
      </c>
      <c r="M424" s="8">
        <v>2021</v>
      </c>
      <c r="N424" s="9">
        <v>0</v>
      </c>
      <c r="O424" s="9">
        <v>0</v>
      </c>
      <c r="P424" s="9">
        <v>0</v>
      </c>
      <c r="Q424" s="9">
        <v>0</v>
      </c>
      <c r="R424" s="13">
        <v>41815</v>
      </c>
      <c r="S424" s="13">
        <v>41815</v>
      </c>
    </row>
    <row r="425" spans="1:19">
      <c r="A425" s="10">
        <v>2014</v>
      </c>
      <c r="B425" s="11" t="s">
        <v>483</v>
      </c>
      <c r="C425" s="11" t="s">
        <v>484</v>
      </c>
      <c r="D425" s="12">
        <v>1015042</v>
      </c>
      <c r="E425" s="12">
        <v>2</v>
      </c>
      <c r="F425" s="12"/>
      <c r="G425" s="12">
        <v>765</v>
      </c>
      <c r="H425" s="12">
        <v>12.6</v>
      </c>
      <c r="I425" s="12"/>
      <c r="J425" s="12" t="s">
        <v>402</v>
      </c>
      <c r="K425" s="12" t="b">
        <v>1</v>
      </c>
      <c r="L425" s="12">
        <v>4</v>
      </c>
      <c r="M425" s="8">
        <v>2018</v>
      </c>
      <c r="N425" s="9">
        <v>0</v>
      </c>
      <c r="O425" s="9">
        <v>0</v>
      </c>
      <c r="P425" s="9">
        <v>0</v>
      </c>
      <c r="Q425" s="9">
        <v>0</v>
      </c>
      <c r="R425" s="13">
        <v>41815</v>
      </c>
      <c r="S425" s="13">
        <v>41815</v>
      </c>
    </row>
    <row r="426" spans="1:19">
      <c r="A426" s="10">
        <v>2014</v>
      </c>
      <c r="B426" s="11" t="s">
        <v>483</v>
      </c>
      <c r="C426" s="11" t="s">
        <v>484</v>
      </c>
      <c r="D426" s="12">
        <v>1015042</v>
      </c>
      <c r="E426" s="12">
        <v>2</v>
      </c>
      <c r="F426" s="12"/>
      <c r="G426" s="12">
        <v>800</v>
      </c>
      <c r="H426" s="12">
        <v>13.1</v>
      </c>
      <c r="I426" s="12"/>
      <c r="J426" s="12" t="s">
        <v>119</v>
      </c>
      <c r="K426" s="12" t="b">
        <v>1</v>
      </c>
      <c r="L426" s="12">
        <v>4</v>
      </c>
      <c r="M426" s="8">
        <v>2018</v>
      </c>
      <c r="N426" s="9">
        <v>0</v>
      </c>
      <c r="O426" s="9">
        <v>0</v>
      </c>
      <c r="P426" s="9">
        <v>0</v>
      </c>
      <c r="Q426" s="9">
        <v>0</v>
      </c>
      <c r="R426" s="13">
        <v>41815</v>
      </c>
      <c r="S426" s="13">
        <v>41815</v>
      </c>
    </row>
    <row r="427" spans="1:19">
      <c r="A427" s="10">
        <v>2014</v>
      </c>
      <c r="B427" s="11" t="s">
        <v>483</v>
      </c>
      <c r="C427" s="11" t="s">
        <v>484</v>
      </c>
      <c r="D427" s="12">
        <v>1015042</v>
      </c>
      <c r="E427" s="12">
        <v>2</v>
      </c>
      <c r="F427" s="12"/>
      <c r="G427" s="12">
        <v>800</v>
      </c>
      <c r="H427" s="12">
        <v>13.1</v>
      </c>
      <c r="I427" s="12"/>
      <c r="J427" s="12" t="s">
        <v>119</v>
      </c>
      <c r="K427" s="12" t="b">
        <v>1</v>
      </c>
      <c r="L427" s="12">
        <v>2</v>
      </c>
      <c r="M427" s="8">
        <v>2016</v>
      </c>
      <c r="N427" s="9">
        <v>0</v>
      </c>
      <c r="O427" s="9">
        <v>0</v>
      </c>
      <c r="P427" s="9">
        <v>0</v>
      </c>
      <c r="Q427" s="9">
        <v>0</v>
      </c>
      <c r="R427" s="13">
        <v>41815</v>
      </c>
      <c r="S427" s="13">
        <v>41815</v>
      </c>
    </row>
    <row r="428" spans="1:19">
      <c r="A428" s="10">
        <v>2014</v>
      </c>
      <c r="B428" s="11" t="s">
        <v>483</v>
      </c>
      <c r="C428" s="11" t="s">
        <v>484</v>
      </c>
      <c r="D428" s="12">
        <v>1015042</v>
      </c>
      <c r="E428" s="12">
        <v>2</v>
      </c>
      <c r="F428" s="12"/>
      <c r="G428" s="12">
        <v>800</v>
      </c>
      <c r="H428" s="12">
        <v>13.1</v>
      </c>
      <c r="I428" s="12"/>
      <c r="J428" s="12" t="s">
        <v>119</v>
      </c>
      <c r="K428" s="12" t="b">
        <v>1</v>
      </c>
      <c r="L428" s="12">
        <v>1</v>
      </c>
      <c r="M428" s="8">
        <v>2015</v>
      </c>
      <c r="N428" s="9">
        <v>0</v>
      </c>
      <c r="O428" s="9">
        <v>0</v>
      </c>
      <c r="P428" s="9">
        <v>0</v>
      </c>
      <c r="Q428" s="9">
        <v>0</v>
      </c>
      <c r="R428" s="13">
        <v>41815</v>
      </c>
      <c r="S428" s="13">
        <v>41815</v>
      </c>
    </row>
    <row r="429" spans="1:19">
      <c r="A429" s="10">
        <v>2014</v>
      </c>
      <c r="B429" s="11" t="s">
        <v>483</v>
      </c>
      <c r="C429" s="11" t="s">
        <v>484</v>
      </c>
      <c r="D429" s="12">
        <v>1015042</v>
      </c>
      <c r="E429" s="12">
        <v>2</v>
      </c>
      <c r="F429" s="12"/>
      <c r="G429" s="12">
        <v>800</v>
      </c>
      <c r="H429" s="12">
        <v>13.1</v>
      </c>
      <c r="I429" s="12"/>
      <c r="J429" s="12" t="s">
        <v>119</v>
      </c>
      <c r="K429" s="12" t="b">
        <v>1</v>
      </c>
      <c r="L429" s="12">
        <v>3</v>
      </c>
      <c r="M429" s="8">
        <v>2017</v>
      </c>
      <c r="N429" s="9">
        <v>0</v>
      </c>
      <c r="O429" s="9">
        <v>0</v>
      </c>
      <c r="P429" s="9">
        <v>0</v>
      </c>
      <c r="Q429" s="9">
        <v>0</v>
      </c>
      <c r="R429" s="13">
        <v>41815</v>
      </c>
      <c r="S429" s="13">
        <v>41815</v>
      </c>
    </row>
    <row r="430" spans="1:19">
      <c r="A430" s="10">
        <v>2014</v>
      </c>
      <c r="B430" s="11" t="s">
        <v>483</v>
      </c>
      <c r="C430" s="11" t="s">
        <v>484</v>
      </c>
      <c r="D430" s="12">
        <v>1015042</v>
      </c>
      <c r="E430" s="12">
        <v>2</v>
      </c>
      <c r="F430" s="12"/>
      <c r="G430" s="12">
        <v>800</v>
      </c>
      <c r="H430" s="12">
        <v>13.1</v>
      </c>
      <c r="I430" s="12"/>
      <c r="J430" s="12" t="s">
        <v>119</v>
      </c>
      <c r="K430" s="12" t="b">
        <v>1</v>
      </c>
      <c r="L430" s="12">
        <v>8</v>
      </c>
      <c r="M430" s="8">
        <v>2022</v>
      </c>
      <c r="N430" s="9">
        <v>0</v>
      </c>
      <c r="O430" s="9">
        <v>0</v>
      </c>
      <c r="P430" s="9">
        <v>0</v>
      </c>
      <c r="Q430" s="9">
        <v>0</v>
      </c>
      <c r="R430" s="13">
        <v>41815</v>
      </c>
      <c r="S430" s="13">
        <v>41815</v>
      </c>
    </row>
    <row r="431" spans="1:19">
      <c r="A431" s="10">
        <v>2014</v>
      </c>
      <c r="B431" s="11" t="s">
        <v>483</v>
      </c>
      <c r="C431" s="11" t="s">
        <v>484</v>
      </c>
      <c r="D431" s="12">
        <v>1015042</v>
      </c>
      <c r="E431" s="12">
        <v>2</v>
      </c>
      <c r="F431" s="12"/>
      <c r="G431" s="12">
        <v>800</v>
      </c>
      <c r="H431" s="12">
        <v>13.1</v>
      </c>
      <c r="I431" s="12"/>
      <c r="J431" s="12" t="s">
        <v>119</v>
      </c>
      <c r="K431" s="12" t="b">
        <v>1</v>
      </c>
      <c r="L431" s="12">
        <v>7</v>
      </c>
      <c r="M431" s="8">
        <v>2021</v>
      </c>
      <c r="N431" s="9">
        <v>0</v>
      </c>
      <c r="O431" s="9">
        <v>0</v>
      </c>
      <c r="P431" s="9">
        <v>0</v>
      </c>
      <c r="Q431" s="9">
        <v>0</v>
      </c>
      <c r="R431" s="13">
        <v>41815</v>
      </c>
      <c r="S431" s="13">
        <v>41815</v>
      </c>
    </row>
    <row r="432" spans="1:19">
      <c r="A432" s="10">
        <v>2014</v>
      </c>
      <c r="B432" s="11" t="s">
        <v>483</v>
      </c>
      <c r="C432" s="11" t="s">
        <v>484</v>
      </c>
      <c r="D432" s="12">
        <v>1015042</v>
      </c>
      <c r="E432" s="12">
        <v>2</v>
      </c>
      <c r="F432" s="12"/>
      <c r="G432" s="12">
        <v>800</v>
      </c>
      <c r="H432" s="12">
        <v>13.1</v>
      </c>
      <c r="I432" s="12"/>
      <c r="J432" s="12" t="s">
        <v>119</v>
      </c>
      <c r="K432" s="12" t="b">
        <v>1</v>
      </c>
      <c r="L432" s="12">
        <v>5</v>
      </c>
      <c r="M432" s="8">
        <v>2019</v>
      </c>
      <c r="N432" s="9">
        <v>0</v>
      </c>
      <c r="O432" s="9">
        <v>0</v>
      </c>
      <c r="P432" s="9">
        <v>0</v>
      </c>
      <c r="Q432" s="9">
        <v>0</v>
      </c>
      <c r="R432" s="13">
        <v>41815</v>
      </c>
      <c r="S432" s="13">
        <v>41815</v>
      </c>
    </row>
    <row r="433" spans="1:19">
      <c r="A433" s="10">
        <v>2014</v>
      </c>
      <c r="B433" s="11" t="s">
        <v>483</v>
      </c>
      <c r="C433" s="11" t="s">
        <v>484</v>
      </c>
      <c r="D433" s="12">
        <v>1015042</v>
      </c>
      <c r="E433" s="12">
        <v>2</v>
      </c>
      <c r="F433" s="12"/>
      <c r="G433" s="12">
        <v>800</v>
      </c>
      <c r="H433" s="12">
        <v>13.1</v>
      </c>
      <c r="I433" s="12"/>
      <c r="J433" s="12" t="s">
        <v>119</v>
      </c>
      <c r="K433" s="12" t="b">
        <v>1</v>
      </c>
      <c r="L433" s="12">
        <v>0</v>
      </c>
      <c r="M433" s="8">
        <v>2014</v>
      </c>
      <c r="N433" s="9">
        <v>0</v>
      </c>
      <c r="O433" s="9">
        <v>0</v>
      </c>
      <c r="P433" s="9">
        <v>0</v>
      </c>
      <c r="Q433" s="9">
        <v>0</v>
      </c>
      <c r="R433" s="13">
        <v>41815</v>
      </c>
      <c r="S433" s="13">
        <v>41815</v>
      </c>
    </row>
    <row r="434" spans="1:19">
      <c r="A434" s="10">
        <v>2014</v>
      </c>
      <c r="B434" s="11" t="s">
        <v>483</v>
      </c>
      <c r="C434" s="11" t="s">
        <v>484</v>
      </c>
      <c r="D434" s="12">
        <v>1015042</v>
      </c>
      <c r="E434" s="12">
        <v>2</v>
      </c>
      <c r="F434" s="12"/>
      <c r="G434" s="12">
        <v>800</v>
      </c>
      <c r="H434" s="12">
        <v>13.1</v>
      </c>
      <c r="I434" s="12"/>
      <c r="J434" s="12" t="s">
        <v>119</v>
      </c>
      <c r="K434" s="12" t="b">
        <v>1</v>
      </c>
      <c r="L434" s="12">
        <v>6</v>
      </c>
      <c r="M434" s="8">
        <v>2020</v>
      </c>
      <c r="N434" s="9">
        <v>0</v>
      </c>
      <c r="O434" s="9">
        <v>0</v>
      </c>
      <c r="P434" s="9">
        <v>0</v>
      </c>
      <c r="Q434" s="9">
        <v>0</v>
      </c>
      <c r="R434" s="13">
        <v>41815</v>
      </c>
      <c r="S434" s="13">
        <v>41815</v>
      </c>
    </row>
    <row r="435" spans="1:19">
      <c r="A435" s="10">
        <v>2014</v>
      </c>
      <c r="B435" s="11" t="s">
        <v>483</v>
      </c>
      <c r="C435" s="11" t="s">
        <v>484</v>
      </c>
      <c r="D435" s="12">
        <v>1015042</v>
      </c>
      <c r="E435" s="12">
        <v>2</v>
      </c>
      <c r="F435" s="12"/>
      <c r="G435" s="12">
        <v>870</v>
      </c>
      <c r="H435" s="12">
        <v>14</v>
      </c>
      <c r="I435" s="12"/>
      <c r="J435" s="12" t="s">
        <v>126</v>
      </c>
      <c r="K435" s="12" t="b">
        <v>1</v>
      </c>
      <c r="L435" s="12">
        <v>5</v>
      </c>
      <c r="M435" s="8">
        <v>2019</v>
      </c>
      <c r="N435" s="9">
        <v>0</v>
      </c>
      <c r="O435" s="9">
        <v>0</v>
      </c>
      <c r="P435" s="9">
        <v>0</v>
      </c>
      <c r="Q435" s="9">
        <v>0</v>
      </c>
      <c r="R435" s="13">
        <v>41815</v>
      </c>
      <c r="S435" s="13">
        <v>41815</v>
      </c>
    </row>
    <row r="436" spans="1:19">
      <c r="A436" s="10">
        <v>2014</v>
      </c>
      <c r="B436" s="11" t="s">
        <v>483</v>
      </c>
      <c r="C436" s="11" t="s">
        <v>484</v>
      </c>
      <c r="D436" s="12">
        <v>1015042</v>
      </c>
      <c r="E436" s="12">
        <v>2</v>
      </c>
      <c r="F436" s="12"/>
      <c r="G436" s="12">
        <v>870</v>
      </c>
      <c r="H436" s="12">
        <v>14</v>
      </c>
      <c r="I436" s="12"/>
      <c r="J436" s="12" t="s">
        <v>126</v>
      </c>
      <c r="K436" s="12" t="b">
        <v>1</v>
      </c>
      <c r="L436" s="12">
        <v>3</v>
      </c>
      <c r="M436" s="8">
        <v>2017</v>
      </c>
      <c r="N436" s="9">
        <v>0</v>
      </c>
      <c r="O436" s="9">
        <v>0</v>
      </c>
      <c r="P436" s="9">
        <v>0</v>
      </c>
      <c r="Q436" s="9">
        <v>0</v>
      </c>
      <c r="R436" s="13">
        <v>41815</v>
      </c>
      <c r="S436" s="13">
        <v>41815</v>
      </c>
    </row>
    <row r="437" spans="1:19">
      <c r="A437" s="10">
        <v>2014</v>
      </c>
      <c r="B437" s="11" t="s">
        <v>483</v>
      </c>
      <c r="C437" s="11" t="s">
        <v>484</v>
      </c>
      <c r="D437" s="12">
        <v>1015042</v>
      </c>
      <c r="E437" s="12">
        <v>2</v>
      </c>
      <c r="F437" s="12"/>
      <c r="G437" s="12">
        <v>870</v>
      </c>
      <c r="H437" s="12">
        <v>14</v>
      </c>
      <c r="I437" s="12"/>
      <c r="J437" s="12" t="s">
        <v>126</v>
      </c>
      <c r="K437" s="12" t="b">
        <v>1</v>
      </c>
      <c r="L437" s="12">
        <v>7</v>
      </c>
      <c r="M437" s="8">
        <v>2021</v>
      </c>
      <c r="N437" s="9">
        <v>0</v>
      </c>
      <c r="O437" s="9">
        <v>0</v>
      </c>
      <c r="P437" s="9">
        <v>0</v>
      </c>
      <c r="Q437" s="9">
        <v>0</v>
      </c>
      <c r="R437" s="13">
        <v>41815</v>
      </c>
      <c r="S437" s="13">
        <v>41815</v>
      </c>
    </row>
    <row r="438" spans="1:19">
      <c r="A438" s="10">
        <v>2014</v>
      </c>
      <c r="B438" s="11" t="s">
        <v>483</v>
      </c>
      <c r="C438" s="11" t="s">
        <v>484</v>
      </c>
      <c r="D438" s="12">
        <v>1015042</v>
      </c>
      <c r="E438" s="12">
        <v>2</v>
      </c>
      <c r="F438" s="12"/>
      <c r="G438" s="12">
        <v>870</v>
      </c>
      <c r="H438" s="12">
        <v>14</v>
      </c>
      <c r="I438" s="12"/>
      <c r="J438" s="12" t="s">
        <v>126</v>
      </c>
      <c r="K438" s="12" t="b">
        <v>1</v>
      </c>
      <c r="L438" s="12">
        <v>1</v>
      </c>
      <c r="M438" s="8">
        <v>2015</v>
      </c>
      <c r="N438" s="9">
        <v>0</v>
      </c>
      <c r="O438" s="9">
        <v>0</v>
      </c>
      <c r="P438" s="9">
        <v>0</v>
      </c>
      <c r="Q438" s="9">
        <v>0</v>
      </c>
      <c r="R438" s="13">
        <v>41815</v>
      </c>
      <c r="S438" s="13">
        <v>41815</v>
      </c>
    </row>
    <row r="439" spans="1:19">
      <c r="A439" s="10">
        <v>2014</v>
      </c>
      <c r="B439" s="11" t="s">
        <v>483</v>
      </c>
      <c r="C439" s="11" t="s">
        <v>484</v>
      </c>
      <c r="D439" s="12">
        <v>1015042</v>
      </c>
      <c r="E439" s="12">
        <v>2</v>
      </c>
      <c r="F439" s="12"/>
      <c r="G439" s="12">
        <v>870</v>
      </c>
      <c r="H439" s="12">
        <v>14</v>
      </c>
      <c r="I439" s="12"/>
      <c r="J439" s="12" t="s">
        <v>126</v>
      </c>
      <c r="K439" s="12" t="b">
        <v>1</v>
      </c>
      <c r="L439" s="12">
        <v>2</v>
      </c>
      <c r="M439" s="8">
        <v>2016</v>
      </c>
      <c r="N439" s="9">
        <v>0</v>
      </c>
      <c r="O439" s="9">
        <v>0</v>
      </c>
      <c r="P439" s="9">
        <v>0</v>
      </c>
      <c r="Q439" s="9">
        <v>0</v>
      </c>
      <c r="R439" s="13">
        <v>41815</v>
      </c>
      <c r="S439" s="13">
        <v>41815</v>
      </c>
    </row>
    <row r="440" spans="1:19">
      <c r="A440" s="10">
        <v>2014</v>
      </c>
      <c r="B440" s="11" t="s">
        <v>483</v>
      </c>
      <c r="C440" s="11" t="s">
        <v>484</v>
      </c>
      <c r="D440" s="12">
        <v>1015042</v>
      </c>
      <c r="E440" s="12">
        <v>2</v>
      </c>
      <c r="F440" s="12"/>
      <c r="G440" s="12">
        <v>870</v>
      </c>
      <c r="H440" s="12">
        <v>14</v>
      </c>
      <c r="I440" s="12"/>
      <c r="J440" s="12" t="s">
        <v>126</v>
      </c>
      <c r="K440" s="12" t="b">
        <v>1</v>
      </c>
      <c r="L440" s="12">
        <v>0</v>
      </c>
      <c r="M440" s="8">
        <v>2014</v>
      </c>
      <c r="N440" s="9">
        <v>0</v>
      </c>
      <c r="O440" s="9">
        <v>0</v>
      </c>
      <c r="P440" s="9">
        <v>0</v>
      </c>
      <c r="Q440" s="9">
        <v>0</v>
      </c>
      <c r="R440" s="13">
        <v>41815</v>
      </c>
      <c r="S440" s="13">
        <v>41815</v>
      </c>
    </row>
    <row r="441" spans="1:19">
      <c r="A441" s="10">
        <v>2014</v>
      </c>
      <c r="B441" s="11" t="s">
        <v>483</v>
      </c>
      <c r="C441" s="11" t="s">
        <v>484</v>
      </c>
      <c r="D441" s="12">
        <v>1015042</v>
      </c>
      <c r="E441" s="12">
        <v>2</v>
      </c>
      <c r="F441" s="12"/>
      <c r="G441" s="12">
        <v>870</v>
      </c>
      <c r="H441" s="12">
        <v>14</v>
      </c>
      <c r="I441" s="12"/>
      <c r="J441" s="12" t="s">
        <v>126</v>
      </c>
      <c r="K441" s="12" t="b">
        <v>1</v>
      </c>
      <c r="L441" s="12">
        <v>8</v>
      </c>
      <c r="M441" s="8">
        <v>2022</v>
      </c>
      <c r="N441" s="9">
        <v>0</v>
      </c>
      <c r="O441" s="9">
        <v>0</v>
      </c>
      <c r="P441" s="9">
        <v>0</v>
      </c>
      <c r="Q441" s="9">
        <v>0</v>
      </c>
      <c r="R441" s="13">
        <v>41815</v>
      </c>
      <c r="S441" s="13">
        <v>41815</v>
      </c>
    </row>
    <row r="442" spans="1:19">
      <c r="A442" s="10">
        <v>2014</v>
      </c>
      <c r="B442" s="11" t="s">
        <v>483</v>
      </c>
      <c r="C442" s="11" t="s">
        <v>484</v>
      </c>
      <c r="D442" s="12">
        <v>1015042</v>
      </c>
      <c r="E442" s="12">
        <v>2</v>
      </c>
      <c r="F442" s="12"/>
      <c r="G442" s="12">
        <v>900</v>
      </c>
      <c r="H442" s="12">
        <v>14.3</v>
      </c>
      <c r="I442" s="12"/>
      <c r="J442" s="12" t="s">
        <v>129</v>
      </c>
      <c r="K442" s="12" t="b">
        <v>1</v>
      </c>
      <c r="L442" s="12">
        <v>7</v>
      </c>
      <c r="M442" s="8">
        <v>2021</v>
      </c>
      <c r="N442" s="9">
        <v>0</v>
      </c>
      <c r="O442" s="9">
        <v>0</v>
      </c>
      <c r="P442" s="9">
        <v>0</v>
      </c>
      <c r="Q442" s="9">
        <v>0</v>
      </c>
      <c r="R442" s="13">
        <v>41815</v>
      </c>
      <c r="S442" s="13">
        <v>41815</v>
      </c>
    </row>
    <row r="443" spans="1:19">
      <c r="A443" s="10">
        <v>2014</v>
      </c>
      <c r="B443" s="11" t="s">
        <v>483</v>
      </c>
      <c r="C443" s="11" t="s">
        <v>484</v>
      </c>
      <c r="D443" s="12">
        <v>1015042</v>
      </c>
      <c r="E443" s="12">
        <v>2</v>
      </c>
      <c r="F443" s="12"/>
      <c r="G443" s="12">
        <v>900</v>
      </c>
      <c r="H443" s="12">
        <v>14.3</v>
      </c>
      <c r="I443" s="12"/>
      <c r="J443" s="12" t="s">
        <v>129</v>
      </c>
      <c r="K443" s="12" t="b">
        <v>1</v>
      </c>
      <c r="L443" s="12">
        <v>0</v>
      </c>
      <c r="M443" s="8">
        <v>2014</v>
      </c>
      <c r="N443" s="9">
        <v>0</v>
      </c>
      <c r="O443" s="9">
        <v>0</v>
      </c>
      <c r="P443" s="9">
        <v>0</v>
      </c>
      <c r="Q443" s="9">
        <v>0</v>
      </c>
      <c r="R443" s="13">
        <v>41815</v>
      </c>
      <c r="S443" s="13">
        <v>41815</v>
      </c>
    </row>
    <row r="444" spans="1:19">
      <c r="A444" s="10">
        <v>2014</v>
      </c>
      <c r="B444" s="11" t="s">
        <v>483</v>
      </c>
      <c r="C444" s="11" t="s">
        <v>484</v>
      </c>
      <c r="D444" s="12">
        <v>1015042</v>
      </c>
      <c r="E444" s="12">
        <v>2</v>
      </c>
      <c r="F444" s="12"/>
      <c r="G444" s="12">
        <v>900</v>
      </c>
      <c r="H444" s="12">
        <v>14.3</v>
      </c>
      <c r="I444" s="12"/>
      <c r="J444" s="12" t="s">
        <v>129</v>
      </c>
      <c r="K444" s="12" t="b">
        <v>1</v>
      </c>
      <c r="L444" s="12">
        <v>3</v>
      </c>
      <c r="M444" s="8">
        <v>2017</v>
      </c>
      <c r="N444" s="9">
        <v>0</v>
      </c>
      <c r="O444" s="9">
        <v>0</v>
      </c>
      <c r="P444" s="9">
        <v>0</v>
      </c>
      <c r="Q444" s="9">
        <v>0</v>
      </c>
      <c r="R444" s="13">
        <v>41815</v>
      </c>
      <c r="S444" s="13">
        <v>41815</v>
      </c>
    </row>
    <row r="445" spans="1:19">
      <c r="A445" s="10">
        <v>2014</v>
      </c>
      <c r="B445" s="11" t="s">
        <v>483</v>
      </c>
      <c r="C445" s="11" t="s">
        <v>484</v>
      </c>
      <c r="D445" s="12">
        <v>1015042</v>
      </c>
      <c r="E445" s="12">
        <v>2</v>
      </c>
      <c r="F445" s="12"/>
      <c r="G445" s="12">
        <v>900</v>
      </c>
      <c r="H445" s="12">
        <v>14.3</v>
      </c>
      <c r="I445" s="12"/>
      <c r="J445" s="12" t="s">
        <v>129</v>
      </c>
      <c r="K445" s="12" t="b">
        <v>1</v>
      </c>
      <c r="L445" s="12">
        <v>4</v>
      </c>
      <c r="M445" s="8">
        <v>2018</v>
      </c>
      <c r="N445" s="9">
        <v>0</v>
      </c>
      <c r="O445" s="9">
        <v>0</v>
      </c>
      <c r="P445" s="9">
        <v>0</v>
      </c>
      <c r="Q445" s="9">
        <v>0</v>
      </c>
      <c r="R445" s="13">
        <v>41815</v>
      </c>
      <c r="S445" s="13">
        <v>41815</v>
      </c>
    </row>
    <row r="446" spans="1:19">
      <c r="A446" s="10">
        <v>2014</v>
      </c>
      <c r="B446" s="11" t="s">
        <v>483</v>
      </c>
      <c r="C446" s="11" t="s">
        <v>484</v>
      </c>
      <c r="D446" s="12">
        <v>1015042</v>
      </c>
      <c r="E446" s="12">
        <v>2</v>
      </c>
      <c r="F446" s="12"/>
      <c r="G446" s="12">
        <v>900</v>
      </c>
      <c r="H446" s="12">
        <v>14.3</v>
      </c>
      <c r="I446" s="12"/>
      <c r="J446" s="12" t="s">
        <v>129</v>
      </c>
      <c r="K446" s="12" t="b">
        <v>1</v>
      </c>
      <c r="L446" s="12">
        <v>5</v>
      </c>
      <c r="M446" s="8">
        <v>2019</v>
      </c>
      <c r="N446" s="9">
        <v>0</v>
      </c>
      <c r="O446" s="9">
        <v>0</v>
      </c>
      <c r="P446" s="9">
        <v>0</v>
      </c>
      <c r="Q446" s="9">
        <v>0</v>
      </c>
      <c r="R446" s="13">
        <v>41815</v>
      </c>
      <c r="S446" s="13">
        <v>41815</v>
      </c>
    </row>
    <row r="447" spans="1:19">
      <c r="A447" s="10">
        <v>2014</v>
      </c>
      <c r="B447" s="11" t="s">
        <v>483</v>
      </c>
      <c r="C447" s="11" t="s">
        <v>484</v>
      </c>
      <c r="D447" s="12">
        <v>1015042</v>
      </c>
      <c r="E447" s="12">
        <v>2</v>
      </c>
      <c r="F447" s="12"/>
      <c r="G447" s="12">
        <v>900</v>
      </c>
      <c r="H447" s="12">
        <v>14.3</v>
      </c>
      <c r="I447" s="12"/>
      <c r="J447" s="12" t="s">
        <v>129</v>
      </c>
      <c r="K447" s="12" t="b">
        <v>1</v>
      </c>
      <c r="L447" s="12">
        <v>2</v>
      </c>
      <c r="M447" s="8">
        <v>2016</v>
      </c>
      <c r="N447" s="9">
        <v>0</v>
      </c>
      <c r="O447" s="9">
        <v>0</v>
      </c>
      <c r="P447" s="9">
        <v>0</v>
      </c>
      <c r="Q447" s="9">
        <v>0</v>
      </c>
      <c r="R447" s="13">
        <v>41815</v>
      </c>
      <c r="S447" s="13">
        <v>41815</v>
      </c>
    </row>
    <row r="448" spans="1:19">
      <c r="A448" s="10">
        <v>2014</v>
      </c>
      <c r="B448" s="11" t="s">
        <v>483</v>
      </c>
      <c r="C448" s="11" t="s">
        <v>484</v>
      </c>
      <c r="D448" s="12">
        <v>1015042</v>
      </c>
      <c r="E448" s="12">
        <v>2</v>
      </c>
      <c r="F448" s="12"/>
      <c r="G448" s="12">
        <v>900</v>
      </c>
      <c r="H448" s="12">
        <v>14.3</v>
      </c>
      <c r="I448" s="12"/>
      <c r="J448" s="12" t="s">
        <v>129</v>
      </c>
      <c r="K448" s="12" t="b">
        <v>1</v>
      </c>
      <c r="L448" s="12">
        <v>6</v>
      </c>
      <c r="M448" s="8">
        <v>2020</v>
      </c>
      <c r="N448" s="9">
        <v>0</v>
      </c>
      <c r="O448" s="9">
        <v>0</v>
      </c>
      <c r="P448" s="9">
        <v>0</v>
      </c>
      <c r="Q448" s="9">
        <v>0</v>
      </c>
      <c r="R448" s="13">
        <v>41815</v>
      </c>
      <c r="S448" s="13">
        <v>41815</v>
      </c>
    </row>
    <row r="449" spans="1:19">
      <c r="A449" s="10">
        <v>2014</v>
      </c>
      <c r="B449" s="11" t="s">
        <v>483</v>
      </c>
      <c r="C449" s="11" t="s">
        <v>484</v>
      </c>
      <c r="D449" s="12">
        <v>1015042</v>
      </c>
      <c r="E449" s="12">
        <v>2</v>
      </c>
      <c r="F449" s="12"/>
      <c r="G449" s="12">
        <v>900</v>
      </c>
      <c r="H449" s="12">
        <v>14.3</v>
      </c>
      <c r="I449" s="12"/>
      <c r="J449" s="12" t="s">
        <v>129</v>
      </c>
      <c r="K449" s="12" t="b">
        <v>1</v>
      </c>
      <c r="L449" s="12">
        <v>1</v>
      </c>
      <c r="M449" s="8">
        <v>2015</v>
      </c>
      <c r="N449" s="9">
        <v>0</v>
      </c>
      <c r="O449" s="9">
        <v>0</v>
      </c>
      <c r="P449" s="9">
        <v>0</v>
      </c>
      <c r="Q449" s="9">
        <v>0</v>
      </c>
      <c r="R449" s="13">
        <v>41815</v>
      </c>
      <c r="S449" s="13">
        <v>41815</v>
      </c>
    </row>
    <row r="450" spans="1:19">
      <c r="A450" s="10">
        <v>2014</v>
      </c>
      <c r="B450" s="11" t="s">
        <v>483</v>
      </c>
      <c r="C450" s="11" t="s">
        <v>484</v>
      </c>
      <c r="D450" s="12">
        <v>1015042</v>
      </c>
      <c r="E450" s="12">
        <v>2</v>
      </c>
      <c r="F450" s="12"/>
      <c r="G450" s="12">
        <v>900</v>
      </c>
      <c r="H450" s="12">
        <v>14.3</v>
      </c>
      <c r="I450" s="12"/>
      <c r="J450" s="12" t="s">
        <v>129</v>
      </c>
      <c r="K450" s="12" t="b">
        <v>1</v>
      </c>
      <c r="L450" s="12">
        <v>8</v>
      </c>
      <c r="M450" s="8">
        <v>2022</v>
      </c>
      <c r="N450" s="9">
        <v>0</v>
      </c>
      <c r="O450" s="9">
        <v>0</v>
      </c>
      <c r="P450" s="9">
        <v>0</v>
      </c>
      <c r="Q450" s="9">
        <v>0</v>
      </c>
      <c r="R450" s="13">
        <v>41815</v>
      </c>
      <c r="S450" s="13">
        <v>41815</v>
      </c>
    </row>
    <row r="451" spans="1:19">
      <c r="A451" s="10">
        <v>2014</v>
      </c>
      <c r="B451" s="11" t="s">
        <v>483</v>
      </c>
      <c r="C451" s="11" t="s">
        <v>484</v>
      </c>
      <c r="D451" s="12">
        <v>1015042</v>
      </c>
      <c r="E451" s="12">
        <v>2</v>
      </c>
      <c r="F451" s="12"/>
      <c r="G451" s="12">
        <v>950</v>
      </c>
      <c r="H451" s="12">
        <v>15</v>
      </c>
      <c r="I451" s="12"/>
      <c r="J451" s="12" t="s">
        <v>411</v>
      </c>
      <c r="K451" s="12" t="b">
        <v>1</v>
      </c>
      <c r="L451" s="12">
        <v>0</v>
      </c>
      <c r="M451" s="8">
        <v>2014</v>
      </c>
      <c r="N451" s="9">
        <v>0</v>
      </c>
      <c r="O451" s="9">
        <v>0</v>
      </c>
      <c r="P451" s="9">
        <v>0</v>
      </c>
      <c r="Q451" s="9">
        <v>0</v>
      </c>
      <c r="R451" s="13">
        <v>41815</v>
      </c>
      <c r="S451" s="13">
        <v>41815</v>
      </c>
    </row>
    <row r="452" spans="1:19">
      <c r="A452" s="10">
        <v>2014</v>
      </c>
      <c r="B452" s="11" t="s">
        <v>483</v>
      </c>
      <c r="C452" s="11" t="s">
        <v>484</v>
      </c>
      <c r="D452" s="12">
        <v>1015042</v>
      </c>
      <c r="E452" s="12">
        <v>2</v>
      </c>
      <c r="F452" s="12"/>
      <c r="G452" s="12">
        <v>950</v>
      </c>
      <c r="H452" s="12">
        <v>15</v>
      </c>
      <c r="I452" s="12"/>
      <c r="J452" s="12" t="s">
        <v>411</v>
      </c>
      <c r="K452" s="12" t="b">
        <v>1</v>
      </c>
      <c r="L452" s="12">
        <v>1</v>
      </c>
      <c r="M452" s="8">
        <v>2015</v>
      </c>
      <c r="N452" s="9">
        <v>0</v>
      </c>
      <c r="O452" s="9">
        <v>0</v>
      </c>
      <c r="P452" s="9">
        <v>0</v>
      </c>
      <c r="Q452" s="9">
        <v>0</v>
      </c>
      <c r="R452" s="13">
        <v>41815</v>
      </c>
      <c r="S452" s="13">
        <v>41815</v>
      </c>
    </row>
    <row r="453" spans="1:19">
      <c r="A453" s="10">
        <v>2014</v>
      </c>
      <c r="B453" s="11" t="s">
        <v>483</v>
      </c>
      <c r="C453" s="11" t="s">
        <v>484</v>
      </c>
      <c r="D453" s="12">
        <v>1015042</v>
      </c>
      <c r="E453" s="12">
        <v>2</v>
      </c>
      <c r="F453" s="12"/>
      <c r="G453" s="12">
        <v>950</v>
      </c>
      <c r="H453" s="12">
        <v>15</v>
      </c>
      <c r="I453" s="12"/>
      <c r="J453" s="12" t="s">
        <v>411</v>
      </c>
      <c r="K453" s="12" t="b">
        <v>1</v>
      </c>
      <c r="L453" s="12">
        <v>4</v>
      </c>
      <c r="M453" s="8">
        <v>2018</v>
      </c>
      <c r="N453" s="9">
        <v>0</v>
      </c>
      <c r="O453" s="9">
        <v>0</v>
      </c>
      <c r="P453" s="9">
        <v>0</v>
      </c>
      <c r="Q453" s="9">
        <v>0</v>
      </c>
      <c r="R453" s="13">
        <v>41815</v>
      </c>
      <c r="S453" s="13">
        <v>41815</v>
      </c>
    </row>
    <row r="454" spans="1:19">
      <c r="A454" s="10">
        <v>2014</v>
      </c>
      <c r="B454" s="11" t="s">
        <v>483</v>
      </c>
      <c r="C454" s="11" t="s">
        <v>484</v>
      </c>
      <c r="D454" s="12">
        <v>1015042</v>
      </c>
      <c r="E454" s="12">
        <v>2</v>
      </c>
      <c r="F454" s="12"/>
      <c r="G454" s="12">
        <v>950</v>
      </c>
      <c r="H454" s="12">
        <v>15</v>
      </c>
      <c r="I454" s="12"/>
      <c r="J454" s="12" t="s">
        <v>411</v>
      </c>
      <c r="K454" s="12" t="b">
        <v>1</v>
      </c>
      <c r="L454" s="12">
        <v>5</v>
      </c>
      <c r="M454" s="8">
        <v>2019</v>
      </c>
      <c r="N454" s="9">
        <v>0</v>
      </c>
      <c r="O454" s="9">
        <v>0</v>
      </c>
      <c r="P454" s="9">
        <v>0</v>
      </c>
      <c r="Q454" s="9">
        <v>0</v>
      </c>
      <c r="R454" s="13">
        <v>41815</v>
      </c>
      <c r="S454" s="13">
        <v>41815</v>
      </c>
    </row>
    <row r="455" spans="1:19">
      <c r="A455" s="10">
        <v>2014</v>
      </c>
      <c r="B455" s="11" t="s">
        <v>483</v>
      </c>
      <c r="C455" s="11" t="s">
        <v>484</v>
      </c>
      <c r="D455" s="12">
        <v>1015042</v>
      </c>
      <c r="E455" s="12">
        <v>2</v>
      </c>
      <c r="F455" s="12"/>
      <c r="G455" s="12">
        <v>950</v>
      </c>
      <c r="H455" s="12">
        <v>15</v>
      </c>
      <c r="I455" s="12"/>
      <c r="J455" s="12" t="s">
        <v>411</v>
      </c>
      <c r="K455" s="12" t="b">
        <v>1</v>
      </c>
      <c r="L455" s="12">
        <v>6</v>
      </c>
      <c r="M455" s="8">
        <v>2020</v>
      </c>
      <c r="N455" s="9">
        <v>0</v>
      </c>
      <c r="O455" s="9">
        <v>0</v>
      </c>
      <c r="P455" s="9">
        <v>0</v>
      </c>
      <c r="Q455" s="9">
        <v>0</v>
      </c>
      <c r="R455" s="13">
        <v>41815</v>
      </c>
      <c r="S455" s="13">
        <v>41815</v>
      </c>
    </row>
    <row r="456" spans="1:19">
      <c r="A456" s="10">
        <v>2014</v>
      </c>
      <c r="B456" s="11" t="s">
        <v>483</v>
      </c>
      <c r="C456" s="11" t="s">
        <v>484</v>
      </c>
      <c r="D456" s="12">
        <v>1015042</v>
      </c>
      <c r="E456" s="12">
        <v>2</v>
      </c>
      <c r="F456" s="12"/>
      <c r="G456" s="12">
        <v>950</v>
      </c>
      <c r="H456" s="12">
        <v>15</v>
      </c>
      <c r="I456" s="12"/>
      <c r="J456" s="12" t="s">
        <v>411</v>
      </c>
      <c r="K456" s="12" t="b">
        <v>1</v>
      </c>
      <c r="L456" s="12">
        <v>7</v>
      </c>
      <c r="M456" s="8">
        <v>2021</v>
      </c>
      <c r="N456" s="9">
        <v>0</v>
      </c>
      <c r="O456" s="9">
        <v>0</v>
      </c>
      <c r="P456" s="9">
        <v>0</v>
      </c>
      <c r="Q456" s="9">
        <v>0</v>
      </c>
      <c r="R456" s="13">
        <v>41815</v>
      </c>
      <c r="S456" s="13">
        <v>41815</v>
      </c>
    </row>
    <row r="457" spans="1:19">
      <c r="A457" s="10">
        <v>2014</v>
      </c>
      <c r="B457" s="11" t="s">
        <v>483</v>
      </c>
      <c r="C457" s="11" t="s">
        <v>484</v>
      </c>
      <c r="D457" s="12">
        <v>1015042</v>
      </c>
      <c r="E457" s="12">
        <v>2</v>
      </c>
      <c r="F457" s="12"/>
      <c r="G457" s="12">
        <v>950</v>
      </c>
      <c r="H457" s="12">
        <v>15</v>
      </c>
      <c r="I457" s="12"/>
      <c r="J457" s="12" t="s">
        <v>411</v>
      </c>
      <c r="K457" s="12" t="b">
        <v>1</v>
      </c>
      <c r="L457" s="12">
        <v>2</v>
      </c>
      <c r="M457" s="8">
        <v>2016</v>
      </c>
      <c r="N457" s="9">
        <v>0</v>
      </c>
      <c r="O457" s="9">
        <v>0</v>
      </c>
      <c r="P457" s="9">
        <v>0</v>
      </c>
      <c r="Q457" s="9">
        <v>0</v>
      </c>
      <c r="R457" s="13">
        <v>41815</v>
      </c>
      <c r="S457" s="13">
        <v>41815</v>
      </c>
    </row>
    <row r="458" spans="1:19">
      <c r="A458" s="10">
        <v>2014</v>
      </c>
      <c r="B458" s="11" t="s">
        <v>483</v>
      </c>
      <c r="C458" s="11" t="s">
        <v>484</v>
      </c>
      <c r="D458" s="12">
        <v>1015042</v>
      </c>
      <c r="E458" s="12">
        <v>2</v>
      </c>
      <c r="F458" s="12"/>
      <c r="G458" s="12">
        <v>950</v>
      </c>
      <c r="H458" s="12">
        <v>15</v>
      </c>
      <c r="I458" s="12"/>
      <c r="J458" s="12" t="s">
        <v>411</v>
      </c>
      <c r="K458" s="12" t="b">
        <v>1</v>
      </c>
      <c r="L458" s="12">
        <v>8</v>
      </c>
      <c r="M458" s="8">
        <v>2022</v>
      </c>
      <c r="N458" s="9">
        <v>0</v>
      </c>
      <c r="O458" s="9">
        <v>0</v>
      </c>
      <c r="P458" s="9">
        <v>0</v>
      </c>
      <c r="Q458" s="9">
        <v>0</v>
      </c>
      <c r="R458" s="13">
        <v>41815</v>
      </c>
      <c r="S458" s="13">
        <v>41815</v>
      </c>
    </row>
    <row r="459" spans="1:19">
      <c r="A459" s="10">
        <v>2014</v>
      </c>
      <c r="B459" s="11" t="s">
        <v>483</v>
      </c>
      <c r="C459" s="11" t="s">
        <v>484</v>
      </c>
      <c r="D459" s="12">
        <v>1015042</v>
      </c>
      <c r="E459" s="12">
        <v>2</v>
      </c>
      <c r="F459" s="12"/>
      <c r="G459" s="12">
        <v>950</v>
      </c>
      <c r="H459" s="12">
        <v>15</v>
      </c>
      <c r="I459" s="12"/>
      <c r="J459" s="12" t="s">
        <v>411</v>
      </c>
      <c r="K459" s="12" t="b">
        <v>1</v>
      </c>
      <c r="L459" s="12">
        <v>3</v>
      </c>
      <c r="M459" s="8">
        <v>2017</v>
      </c>
      <c r="N459" s="9">
        <v>0</v>
      </c>
      <c r="O459" s="9">
        <v>0</v>
      </c>
      <c r="P459" s="9">
        <v>0</v>
      </c>
      <c r="Q459" s="9">
        <v>0</v>
      </c>
      <c r="R459" s="13">
        <v>41815</v>
      </c>
      <c r="S459" s="13">
        <v>41815</v>
      </c>
    </row>
    <row r="460" spans="1:19">
      <c r="A460" s="10">
        <v>2014</v>
      </c>
      <c r="B460" s="11" t="s">
        <v>483</v>
      </c>
      <c r="C460" s="11" t="s">
        <v>484</v>
      </c>
      <c r="D460" s="12">
        <v>1015042</v>
      </c>
      <c r="E460" s="12">
        <v>2</v>
      </c>
      <c r="F460" s="12"/>
      <c r="G460" s="12">
        <v>350</v>
      </c>
      <c r="H460" s="12">
        <v>6</v>
      </c>
      <c r="I460" s="12"/>
      <c r="J460" s="12" t="s">
        <v>25</v>
      </c>
      <c r="K460" s="12" t="b">
        <v>1</v>
      </c>
      <c r="L460" s="12">
        <v>4</v>
      </c>
      <c r="M460" s="8">
        <v>2018</v>
      </c>
      <c r="N460" s="9">
        <v>2320666.36</v>
      </c>
      <c r="O460" s="9">
        <v>1374219.43</v>
      </c>
      <c r="P460" s="9">
        <v>2305335.4300000002</v>
      </c>
      <c r="Q460" s="9">
        <v>2147269.15</v>
      </c>
      <c r="R460" s="13">
        <v>41815</v>
      </c>
      <c r="S460" s="13">
        <v>41815</v>
      </c>
    </row>
    <row r="461" spans="1:19">
      <c r="A461" s="10">
        <v>2014</v>
      </c>
      <c r="B461" s="11" t="s">
        <v>483</v>
      </c>
      <c r="C461" s="11" t="s">
        <v>484</v>
      </c>
      <c r="D461" s="12">
        <v>1015042</v>
      </c>
      <c r="E461" s="12">
        <v>2</v>
      </c>
      <c r="F461" s="12"/>
      <c r="G461" s="12">
        <v>350</v>
      </c>
      <c r="H461" s="12">
        <v>6</v>
      </c>
      <c r="I461" s="12"/>
      <c r="J461" s="12" t="s">
        <v>25</v>
      </c>
      <c r="K461" s="12" t="b">
        <v>1</v>
      </c>
      <c r="L461" s="12">
        <v>7</v>
      </c>
      <c r="M461" s="8">
        <v>2021</v>
      </c>
      <c r="N461" s="9">
        <v>2320666.36</v>
      </c>
      <c r="O461" s="9">
        <v>1374219.43</v>
      </c>
      <c r="P461" s="9">
        <v>2305335.4300000002</v>
      </c>
      <c r="Q461" s="9">
        <v>2147269.15</v>
      </c>
      <c r="R461" s="13">
        <v>41815</v>
      </c>
      <c r="S461" s="13">
        <v>41815</v>
      </c>
    </row>
    <row r="462" spans="1:19">
      <c r="A462" s="10">
        <v>2014</v>
      </c>
      <c r="B462" s="11" t="s">
        <v>483</v>
      </c>
      <c r="C462" s="11" t="s">
        <v>484</v>
      </c>
      <c r="D462" s="12">
        <v>1015042</v>
      </c>
      <c r="E462" s="12">
        <v>2</v>
      </c>
      <c r="F462" s="12"/>
      <c r="G462" s="12">
        <v>170</v>
      </c>
      <c r="H462" s="12" t="s">
        <v>63</v>
      </c>
      <c r="I462" s="12"/>
      <c r="J462" s="12" t="s">
        <v>360</v>
      </c>
      <c r="K462" s="12" t="b">
        <v>1</v>
      </c>
      <c r="L462" s="12">
        <v>1</v>
      </c>
      <c r="M462" s="8">
        <v>2015</v>
      </c>
      <c r="N462" s="9">
        <v>36136.47</v>
      </c>
      <c r="O462" s="9">
        <v>111439.26</v>
      </c>
      <c r="P462" s="9">
        <v>100000</v>
      </c>
      <c r="Q462" s="9">
        <v>63955.86</v>
      </c>
      <c r="R462" s="13">
        <v>41815</v>
      </c>
      <c r="S462" s="13">
        <v>41815</v>
      </c>
    </row>
    <row r="463" spans="1:19">
      <c r="A463" s="10">
        <v>2014</v>
      </c>
      <c r="B463" s="11" t="s">
        <v>483</v>
      </c>
      <c r="C463" s="11" t="s">
        <v>484</v>
      </c>
      <c r="D463" s="12">
        <v>1015042</v>
      </c>
      <c r="E463" s="12">
        <v>2</v>
      </c>
      <c r="F463" s="12"/>
      <c r="G463" s="12">
        <v>170</v>
      </c>
      <c r="H463" s="12" t="s">
        <v>63</v>
      </c>
      <c r="I463" s="12"/>
      <c r="J463" s="12" t="s">
        <v>360</v>
      </c>
      <c r="K463" s="12" t="b">
        <v>1</v>
      </c>
      <c r="L463" s="12">
        <v>3</v>
      </c>
      <c r="M463" s="8">
        <v>2017</v>
      </c>
      <c r="N463" s="9">
        <v>36136.47</v>
      </c>
      <c r="O463" s="9">
        <v>111439.26</v>
      </c>
      <c r="P463" s="9">
        <v>100000</v>
      </c>
      <c r="Q463" s="9">
        <v>63955.86</v>
      </c>
      <c r="R463" s="13">
        <v>41815</v>
      </c>
      <c r="S463" s="13">
        <v>41815</v>
      </c>
    </row>
    <row r="464" spans="1:19">
      <c r="A464" s="10">
        <v>2014</v>
      </c>
      <c r="B464" s="11" t="s">
        <v>483</v>
      </c>
      <c r="C464" s="11" t="s">
        <v>484</v>
      </c>
      <c r="D464" s="12">
        <v>1015042</v>
      </c>
      <c r="E464" s="12">
        <v>2</v>
      </c>
      <c r="F464" s="12"/>
      <c r="G464" s="12">
        <v>170</v>
      </c>
      <c r="H464" s="12" t="s">
        <v>63</v>
      </c>
      <c r="I464" s="12"/>
      <c r="J464" s="12" t="s">
        <v>360</v>
      </c>
      <c r="K464" s="12" t="b">
        <v>1</v>
      </c>
      <c r="L464" s="12">
        <v>4</v>
      </c>
      <c r="M464" s="8">
        <v>2018</v>
      </c>
      <c r="N464" s="9">
        <v>36136.47</v>
      </c>
      <c r="O464" s="9">
        <v>111439.26</v>
      </c>
      <c r="P464" s="9">
        <v>100000</v>
      </c>
      <c r="Q464" s="9">
        <v>63955.86</v>
      </c>
      <c r="R464" s="13">
        <v>41815</v>
      </c>
      <c r="S464" s="13">
        <v>41815</v>
      </c>
    </row>
    <row r="465" spans="1:19">
      <c r="A465" s="10">
        <v>2014</v>
      </c>
      <c r="B465" s="11" t="s">
        <v>483</v>
      </c>
      <c r="C465" s="11" t="s">
        <v>484</v>
      </c>
      <c r="D465" s="12">
        <v>1015042</v>
      </c>
      <c r="E465" s="12">
        <v>2</v>
      </c>
      <c r="F465" s="12"/>
      <c r="G465" s="12">
        <v>170</v>
      </c>
      <c r="H465" s="12" t="s">
        <v>63</v>
      </c>
      <c r="I465" s="12"/>
      <c r="J465" s="12" t="s">
        <v>360</v>
      </c>
      <c r="K465" s="12" t="b">
        <v>1</v>
      </c>
      <c r="L465" s="12">
        <v>8</v>
      </c>
      <c r="M465" s="8">
        <v>2022</v>
      </c>
      <c r="N465" s="9">
        <v>36136.47</v>
      </c>
      <c r="O465" s="9">
        <v>111439.26</v>
      </c>
      <c r="P465" s="9">
        <v>100000</v>
      </c>
      <c r="Q465" s="9">
        <v>63955.86</v>
      </c>
      <c r="R465" s="13">
        <v>41815</v>
      </c>
      <c r="S465" s="13">
        <v>41815</v>
      </c>
    </row>
    <row r="466" spans="1:19">
      <c r="A466" s="10">
        <v>2014</v>
      </c>
      <c r="B466" s="11" t="s">
        <v>483</v>
      </c>
      <c r="C466" s="11" t="s">
        <v>484</v>
      </c>
      <c r="D466" s="12">
        <v>1015042</v>
      </c>
      <c r="E466" s="12">
        <v>2</v>
      </c>
      <c r="F466" s="12"/>
      <c r="G466" s="12">
        <v>170</v>
      </c>
      <c r="H466" s="12" t="s">
        <v>63</v>
      </c>
      <c r="I466" s="12"/>
      <c r="J466" s="12" t="s">
        <v>360</v>
      </c>
      <c r="K466" s="12" t="b">
        <v>1</v>
      </c>
      <c r="L466" s="12">
        <v>5</v>
      </c>
      <c r="M466" s="8">
        <v>2019</v>
      </c>
      <c r="N466" s="9">
        <v>36136.47</v>
      </c>
      <c r="O466" s="9">
        <v>111439.26</v>
      </c>
      <c r="P466" s="9">
        <v>100000</v>
      </c>
      <c r="Q466" s="9">
        <v>63955.86</v>
      </c>
      <c r="R466" s="13">
        <v>41815</v>
      </c>
      <c r="S466" s="13">
        <v>41815</v>
      </c>
    </row>
    <row r="467" spans="1:19">
      <c r="A467" s="10">
        <v>2014</v>
      </c>
      <c r="B467" s="11" t="s">
        <v>483</v>
      </c>
      <c r="C467" s="11" t="s">
        <v>484</v>
      </c>
      <c r="D467" s="12">
        <v>1015042</v>
      </c>
      <c r="E467" s="12">
        <v>2</v>
      </c>
      <c r="F467" s="12"/>
      <c r="G467" s="12">
        <v>170</v>
      </c>
      <c r="H467" s="12" t="s">
        <v>63</v>
      </c>
      <c r="I467" s="12"/>
      <c r="J467" s="12" t="s">
        <v>360</v>
      </c>
      <c r="K467" s="12" t="b">
        <v>1</v>
      </c>
      <c r="L467" s="12">
        <v>7</v>
      </c>
      <c r="M467" s="8">
        <v>2021</v>
      </c>
      <c r="N467" s="9">
        <v>36136.47</v>
      </c>
      <c r="O467" s="9">
        <v>111439.26</v>
      </c>
      <c r="P467" s="9">
        <v>100000</v>
      </c>
      <c r="Q467" s="9">
        <v>63955.86</v>
      </c>
      <c r="R467" s="13">
        <v>41815</v>
      </c>
      <c r="S467" s="13">
        <v>41815</v>
      </c>
    </row>
    <row r="468" spans="1:19">
      <c r="A468" s="10">
        <v>2014</v>
      </c>
      <c r="B468" s="11" t="s">
        <v>483</v>
      </c>
      <c r="C468" s="11" t="s">
        <v>484</v>
      </c>
      <c r="D468" s="12">
        <v>1015042</v>
      </c>
      <c r="E468" s="12">
        <v>2</v>
      </c>
      <c r="F468" s="12"/>
      <c r="G468" s="12">
        <v>170</v>
      </c>
      <c r="H468" s="12" t="s">
        <v>63</v>
      </c>
      <c r="I468" s="12"/>
      <c r="J468" s="12" t="s">
        <v>360</v>
      </c>
      <c r="K468" s="12" t="b">
        <v>1</v>
      </c>
      <c r="L468" s="12">
        <v>2</v>
      </c>
      <c r="M468" s="8">
        <v>2016</v>
      </c>
      <c r="N468" s="9">
        <v>36136.47</v>
      </c>
      <c r="O468" s="9">
        <v>111439.26</v>
      </c>
      <c r="P468" s="9">
        <v>100000</v>
      </c>
      <c r="Q468" s="9">
        <v>63955.86</v>
      </c>
      <c r="R468" s="13">
        <v>41815</v>
      </c>
      <c r="S468" s="13">
        <v>41815</v>
      </c>
    </row>
    <row r="469" spans="1:19">
      <c r="A469" s="10">
        <v>2014</v>
      </c>
      <c r="B469" s="11" t="s">
        <v>483</v>
      </c>
      <c r="C469" s="11" t="s">
        <v>484</v>
      </c>
      <c r="D469" s="12">
        <v>1015042</v>
      </c>
      <c r="E469" s="12">
        <v>2</v>
      </c>
      <c r="F469" s="12"/>
      <c r="G469" s="12">
        <v>170</v>
      </c>
      <c r="H469" s="12" t="s">
        <v>63</v>
      </c>
      <c r="I469" s="12"/>
      <c r="J469" s="12" t="s">
        <v>360</v>
      </c>
      <c r="K469" s="12" t="b">
        <v>1</v>
      </c>
      <c r="L469" s="12">
        <v>0</v>
      </c>
      <c r="M469" s="8">
        <v>2014</v>
      </c>
      <c r="N469" s="9">
        <v>36136.47</v>
      </c>
      <c r="O469" s="9">
        <v>111439.26</v>
      </c>
      <c r="P469" s="9">
        <v>100000</v>
      </c>
      <c r="Q469" s="9">
        <v>63955.86</v>
      </c>
      <c r="R469" s="13">
        <v>41815</v>
      </c>
      <c r="S469" s="13">
        <v>41815</v>
      </c>
    </row>
    <row r="470" spans="1:19">
      <c r="A470" s="10">
        <v>2014</v>
      </c>
      <c r="B470" s="11" t="s">
        <v>483</v>
      </c>
      <c r="C470" s="11" t="s">
        <v>484</v>
      </c>
      <c r="D470" s="12">
        <v>1015042</v>
      </c>
      <c r="E470" s="12">
        <v>2</v>
      </c>
      <c r="F470" s="12"/>
      <c r="G470" s="12">
        <v>170</v>
      </c>
      <c r="H470" s="12" t="s">
        <v>63</v>
      </c>
      <c r="I470" s="12"/>
      <c r="J470" s="12" t="s">
        <v>360</v>
      </c>
      <c r="K470" s="12" t="b">
        <v>1</v>
      </c>
      <c r="L470" s="12">
        <v>6</v>
      </c>
      <c r="M470" s="8">
        <v>2020</v>
      </c>
      <c r="N470" s="9">
        <v>36136.47</v>
      </c>
      <c r="O470" s="9">
        <v>111439.26</v>
      </c>
      <c r="P470" s="9">
        <v>100000</v>
      </c>
      <c r="Q470" s="9">
        <v>63955.86</v>
      </c>
      <c r="R470" s="13">
        <v>41815</v>
      </c>
      <c r="S470" s="13">
        <v>41815</v>
      </c>
    </row>
    <row r="471" spans="1:19">
      <c r="A471" s="10">
        <v>2014</v>
      </c>
      <c r="B471" s="11" t="s">
        <v>483</v>
      </c>
      <c r="C471" s="11" t="s">
        <v>484</v>
      </c>
      <c r="D471" s="12">
        <v>1015042</v>
      </c>
      <c r="E471" s="12">
        <v>2</v>
      </c>
      <c r="F471" s="12"/>
      <c r="G471" s="12">
        <v>270</v>
      </c>
      <c r="H471" s="12" t="s">
        <v>73</v>
      </c>
      <c r="I471" s="12"/>
      <c r="J471" s="12" t="s">
        <v>71</v>
      </c>
      <c r="K471" s="12" t="b">
        <v>1</v>
      </c>
      <c r="L471" s="12">
        <v>8</v>
      </c>
      <c r="M471" s="8">
        <v>2022</v>
      </c>
      <c r="N471" s="9">
        <v>1050000</v>
      </c>
      <c r="O471" s="9">
        <v>0</v>
      </c>
      <c r="P471" s="9">
        <v>1268067</v>
      </c>
      <c r="Q471" s="9">
        <v>1110000</v>
      </c>
      <c r="R471" s="13">
        <v>41815</v>
      </c>
      <c r="S471" s="13">
        <v>41815</v>
      </c>
    </row>
    <row r="472" spans="1:19">
      <c r="A472" s="10">
        <v>2014</v>
      </c>
      <c r="B472" s="11" t="s">
        <v>483</v>
      </c>
      <c r="C472" s="11" t="s">
        <v>484</v>
      </c>
      <c r="D472" s="12">
        <v>1015042</v>
      </c>
      <c r="E472" s="12">
        <v>2</v>
      </c>
      <c r="F472" s="12"/>
      <c r="G472" s="12">
        <v>270</v>
      </c>
      <c r="H472" s="12" t="s">
        <v>73</v>
      </c>
      <c r="I472" s="12"/>
      <c r="J472" s="12" t="s">
        <v>71</v>
      </c>
      <c r="K472" s="12" t="b">
        <v>1</v>
      </c>
      <c r="L472" s="12">
        <v>2</v>
      </c>
      <c r="M472" s="8">
        <v>2016</v>
      </c>
      <c r="N472" s="9">
        <v>1050000</v>
      </c>
      <c r="O472" s="9">
        <v>0</v>
      </c>
      <c r="P472" s="9">
        <v>1268067</v>
      </c>
      <c r="Q472" s="9">
        <v>1110000</v>
      </c>
      <c r="R472" s="13">
        <v>41815</v>
      </c>
      <c r="S472" s="13">
        <v>41815</v>
      </c>
    </row>
    <row r="473" spans="1:19">
      <c r="A473" s="10">
        <v>2014</v>
      </c>
      <c r="B473" s="11" t="s">
        <v>483</v>
      </c>
      <c r="C473" s="11" t="s">
        <v>484</v>
      </c>
      <c r="D473" s="12">
        <v>1015042</v>
      </c>
      <c r="E473" s="12">
        <v>2</v>
      </c>
      <c r="F473" s="12"/>
      <c r="G473" s="12">
        <v>270</v>
      </c>
      <c r="H473" s="12" t="s">
        <v>73</v>
      </c>
      <c r="I473" s="12"/>
      <c r="J473" s="12" t="s">
        <v>71</v>
      </c>
      <c r="K473" s="12" t="b">
        <v>1</v>
      </c>
      <c r="L473" s="12">
        <v>6</v>
      </c>
      <c r="M473" s="8">
        <v>2020</v>
      </c>
      <c r="N473" s="9">
        <v>1050000</v>
      </c>
      <c r="O473" s="9">
        <v>0</v>
      </c>
      <c r="P473" s="9">
        <v>1268067</v>
      </c>
      <c r="Q473" s="9">
        <v>1110000</v>
      </c>
      <c r="R473" s="13">
        <v>41815</v>
      </c>
      <c r="S473" s="13">
        <v>41815</v>
      </c>
    </row>
    <row r="474" spans="1:19">
      <c r="A474" s="10">
        <v>2014</v>
      </c>
      <c r="B474" s="11" t="s">
        <v>483</v>
      </c>
      <c r="C474" s="11" t="s">
        <v>484</v>
      </c>
      <c r="D474" s="12">
        <v>1015042</v>
      </c>
      <c r="E474" s="12">
        <v>2</v>
      </c>
      <c r="F474" s="12"/>
      <c r="G474" s="12">
        <v>270</v>
      </c>
      <c r="H474" s="12" t="s">
        <v>73</v>
      </c>
      <c r="I474" s="12"/>
      <c r="J474" s="12" t="s">
        <v>71</v>
      </c>
      <c r="K474" s="12" t="b">
        <v>1</v>
      </c>
      <c r="L474" s="12">
        <v>5</v>
      </c>
      <c r="M474" s="8">
        <v>2019</v>
      </c>
      <c r="N474" s="9">
        <v>1050000</v>
      </c>
      <c r="O474" s="9">
        <v>0</v>
      </c>
      <c r="P474" s="9">
        <v>1268067</v>
      </c>
      <c r="Q474" s="9">
        <v>1110000</v>
      </c>
      <c r="R474" s="13">
        <v>41815</v>
      </c>
      <c r="S474" s="13">
        <v>41815</v>
      </c>
    </row>
    <row r="475" spans="1:19">
      <c r="A475" s="10">
        <v>2014</v>
      </c>
      <c r="B475" s="11" t="s">
        <v>483</v>
      </c>
      <c r="C475" s="11" t="s">
        <v>484</v>
      </c>
      <c r="D475" s="12">
        <v>1015042</v>
      </c>
      <c r="E475" s="12">
        <v>2</v>
      </c>
      <c r="F475" s="12"/>
      <c r="G475" s="12">
        <v>270</v>
      </c>
      <c r="H475" s="12" t="s">
        <v>73</v>
      </c>
      <c r="I475" s="12"/>
      <c r="J475" s="12" t="s">
        <v>71</v>
      </c>
      <c r="K475" s="12" t="b">
        <v>1</v>
      </c>
      <c r="L475" s="12">
        <v>7</v>
      </c>
      <c r="M475" s="8">
        <v>2021</v>
      </c>
      <c r="N475" s="9">
        <v>1050000</v>
      </c>
      <c r="O475" s="9">
        <v>0</v>
      </c>
      <c r="P475" s="9">
        <v>1268067</v>
      </c>
      <c r="Q475" s="9">
        <v>1110000</v>
      </c>
      <c r="R475" s="13">
        <v>41815</v>
      </c>
      <c r="S475" s="13">
        <v>41815</v>
      </c>
    </row>
    <row r="476" spans="1:19">
      <c r="A476" s="10">
        <v>2014</v>
      </c>
      <c r="B476" s="11" t="s">
        <v>483</v>
      </c>
      <c r="C476" s="11" t="s">
        <v>484</v>
      </c>
      <c r="D476" s="12">
        <v>1015042</v>
      </c>
      <c r="E476" s="12">
        <v>2</v>
      </c>
      <c r="F476" s="12"/>
      <c r="G476" s="12">
        <v>270</v>
      </c>
      <c r="H476" s="12" t="s">
        <v>73</v>
      </c>
      <c r="I476" s="12"/>
      <c r="J476" s="12" t="s">
        <v>71</v>
      </c>
      <c r="K476" s="12" t="b">
        <v>1</v>
      </c>
      <c r="L476" s="12">
        <v>0</v>
      </c>
      <c r="M476" s="8">
        <v>2014</v>
      </c>
      <c r="N476" s="9">
        <v>1050000</v>
      </c>
      <c r="O476" s="9">
        <v>0</v>
      </c>
      <c r="P476" s="9">
        <v>1268067</v>
      </c>
      <c r="Q476" s="9">
        <v>1110000</v>
      </c>
      <c r="R476" s="13">
        <v>41815</v>
      </c>
      <c r="S476" s="13">
        <v>41815</v>
      </c>
    </row>
    <row r="477" spans="1:19">
      <c r="A477" s="10">
        <v>2014</v>
      </c>
      <c r="B477" s="11" t="s">
        <v>483</v>
      </c>
      <c r="C477" s="11" t="s">
        <v>484</v>
      </c>
      <c r="D477" s="12">
        <v>1015042</v>
      </c>
      <c r="E477" s="12">
        <v>2</v>
      </c>
      <c r="F477" s="12"/>
      <c r="G477" s="12">
        <v>270</v>
      </c>
      <c r="H477" s="12" t="s">
        <v>73</v>
      </c>
      <c r="I477" s="12"/>
      <c r="J477" s="12" t="s">
        <v>71</v>
      </c>
      <c r="K477" s="12" t="b">
        <v>1</v>
      </c>
      <c r="L477" s="12">
        <v>4</v>
      </c>
      <c r="M477" s="8">
        <v>2018</v>
      </c>
      <c r="N477" s="9">
        <v>1050000</v>
      </c>
      <c r="O477" s="9">
        <v>0</v>
      </c>
      <c r="P477" s="9">
        <v>1268067</v>
      </c>
      <c r="Q477" s="9">
        <v>1110000</v>
      </c>
      <c r="R477" s="13">
        <v>41815</v>
      </c>
      <c r="S477" s="13">
        <v>41815</v>
      </c>
    </row>
    <row r="478" spans="1:19">
      <c r="A478" s="10">
        <v>2014</v>
      </c>
      <c r="B478" s="11" t="s">
        <v>483</v>
      </c>
      <c r="C478" s="11" t="s">
        <v>484</v>
      </c>
      <c r="D478" s="12">
        <v>1015042</v>
      </c>
      <c r="E478" s="12">
        <v>2</v>
      </c>
      <c r="F478" s="12"/>
      <c r="G478" s="12">
        <v>270</v>
      </c>
      <c r="H478" s="12" t="s">
        <v>73</v>
      </c>
      <c r="I478" s="12"/>
      <c r="J478" s="12" t="s">
        <v>71</v>
      </c>
      <c r="K478" s="12" t="b">
        <v>1</v>
      </c>
      <c r="L478" s="12">
        <v>1</v>
      </c>
      <c r="M478" s="8">
        <v>2015</v>
      </c>
      <c r="N478" s="9">
        <v>1050000</v>
      </c>
      <c r="O478" s="9">
        <v>0</v>
      </c>
      <c r="P478" s="9">
        <v>1268067</v>
      </c>
      <c r="Q478" s="9">
        <v>1110000</v>
      </c>
      <c r="R478" s="13">
        <v>41815</v>
      </c>
      <c r="S478" s="13">
        <v>41815</v>
      </c>
    </row>
    <row r="479" spans="1:19">
      <c r="A479" s="10">
        <v>2014</v>
      </c>
      <c r="B479" s="11" t="s">
        <v>483</v>
      </c>
      <c r="C479" s="11" t="s">
        <v>484</v>
      </c>
      <c r="D479" s="12">
        <v>1015042</v>
      </c>
      <c r="E479" s="12">
        <v>2</v>
      </c>
      <c r="F479" s="12"/>
      <c r="G479" s="12">
        <v>270</v>
      </c>
      <c r="H479" s="12" t="s">
        <v>73</v>
      </c>
      <c r="I479" s="12"/>
      <c r="J479" s="12" t="s">
        <v>71</v>
      </c>
      <c r="K479" s="12" t="b">
        <v>1</v>
      </c>
      <c r="L479" s="12">
        <v>3</v>
      </c>
      <c r="M479" s="8">
        <v>2017</v>
      </c>
      <c r="N479" s="9">
        <v>1050000</v>
      </c>
      <c r="O479" s="9">
        <v>0</v>
      </c>
      <c r="P479" s="9">
        <v>1268067</v>
      </c>
      <c r="Q479" s="9">
        <v>1110000</v>
      </c>
      <c r="R479" s="13">
        <v>41815</v>
      </c>
      <c r="S479" s="13">
        <v>41815</v>
      </c>
    </row>
    <row r="480" spans="1:19">
      <c r="A480" s="10">
        <v>2014</v>
      </c>
      <c r="B480" s="11" t="s">
        <v>483</v>
      </c>
      <c r="C480" s="11" t="s">
        <v>484</v>
      </c>
      <c r="D480" s="12">
        <v>1015042</v>
      </c>
      <c r="E480" s="12">
        <v>2</v>
      </c>
      <c r="F480" s="12"/>
      <c r="G480" s="12">
        <v>260</v>
      </c>
      <c r="H480" s="12">
        <v>4.3</v>
      </c>
      <c r="I480" s="12"/>
      <c r="J480" s="12" t="s">
        <v>72</v>
      </c>
      <c r="K480" s="12" t="b">
        <v>1</v>
      </c>
      <c r="L480" s="12">
        <v>4</v>
      </c>
      <c r="M480" s="8">
        <v>2018</v>
      </c>
      <c r="N480" s="9">
        <v>1750000</v>
      </c>
      <c r="O480" s="9">
        <v>0</v>
      </c>
      <c r="P480" s="9">
        <v>1268067</v>
      </c>
      <c r="Q480" s="9">
        <v>1110000</v>
      </c>
      <c r="R480" s="13">
        <v>41815</v>
      </c>
      <c r="S480" s="13">
        <v>41815</v>
      </c>
    </row>
    <row r="481" spans="1:19">
      <c r="A481" s="10">
        <v>2014</v>
      </c>
      <c r="B481" s="11" t="s">
        <v>483</v>
      </c>
      <c r="C481" s="11" t="s">
        <v>484</v>
      </c>
      <c r="D481" s="12">
        <v>1015042</v>
      </c>
      <c r="E481" s="12">
        <v>2</v>
      </c>
      <c r="F481" s="12"/>
      <c r="G481" s="12">
        <v>260</v>
      </c>
      <c r="H481" s="12">
        <v>4.3</v>
      </c>
      <c r="I481" s="12"/>
      <c r="J481" s="12" t="s">
        <v>72</v>
      </c>
      <c r="K481" s="12" t="b">
        <v>1</v>
      </c>
      <c r="L481" s="12">
        <v>7</v>
      </c>
      <c r="M481" s="8">
        <v>2021</v>
      </c>
      <c r="N481" s="9">
        <v>1750000</v>
      </c>
      <c r="O481" s="9">
        <v>0</v>
      </c>
      <c r="P481" s="9">
        <v>1268067</v>
      </c>
      <c r="Q481" s="9">
        <v>1110000</v>
      </c>
      <c r="R481" s="13">
        <v>41815</v>
      </c>
      <c r="S481" s="13">
        <v>41815</v>
      </c>
    </row>
    <row r="482" spans="1:19">
      <c r="A482" s="10">
        <v>2014</v>
      </c>
      <c r="B482" s="11" t="s">
        <v>483</v>
      </c>
      <c r="C482" s="11" t="s">
        <v>484</v>
      </c>
      <c r="D482" s="12">
        <v>1015042</v>
      </c>
      <c r="E482" s="12">
        <v>2</v>
      </c>
      <c r="F482" s="12"/>
      <c r="G482" s="12">
        <v>260</v>
      </c>
      <c r="H482" s="12">
        <v>4.3</v>
      </c>
      <c r="I482" s="12"/>
      <c r="J482" s="12" t="s">
        <v>72</v>
      </c>
      <c r="K482" s="12" t="b">
        <v>1</v>
      </c>
      <c r="L482" s="12">
        <v>2</v>
      </c>
      <c r="M482" s="8">
        <v>2016</v>
      </c>
      <c r="N482" s="9">
        <v>1750000</v>
      </c>
      <c r="O482" s="9">
        <v>0</v>
      </c>
      <c r="P482" s="9">
        <v>1268067</v>
      </c>
      <c r="Q482" s="9">
        <v>1110000</v>
      </c>
      <c r="R482" s="13">
        <v>41815</v>
      </c>
      <c r="S482" s="13">
        <v>41815</v>
      </c>
    </row>
    <row r="483" spans="1:19">
      <c r="A483" s="10">
        <v>2014</v>
      </c>
      <c r="B483" s="11" t="s">
        <v>483</v>
      </c>
      <c r="C483" s="11" t="s">
        <v>484</v>
      </c>
      <c r="D483" s="12">
        <v>1015042</v>
      </c>
      <c r="E483" s="12">
        <v>2</v>
      </c>
      <c r="F483" s="12"/>
      <c r="G483" s="12">
        <v>260</v>
      </c>
      <c r="H483" s="12">
        <v>4.3</v>
      </c>
      <c r="I483" s="12"/>
      <c r="J483" s="12" t="s">
        <v>72</v>
      </c>
      <c r="K483" s="12" t="b">
        <v>1</v>
      </c>
      <c r="L483" s="12">
        <v>1</v>
      </c>
      <c r="M483" s="8">
        <v>2015</v>
      </c>
      <c r="N483" s="9">
        <v>1750000</v>
      </c>
      <c r="O483" s="9">
        <v>0</v>
      </c>
      <c r="P483" s="9">
        <v>1268067</v>
      </c>
      <c r="Q483" s="9">
        <v>1110000</v>
      </c>
      <c r="R483" s="13">
        <v>41815</v>
      </c>
      <c r="S483" s="13">
        <v>41815</v>
      </c>
    </row>
    <row r="484" spans="1:19">
      <c r="A484" s="10">
        <v>2014</v>
      </c>
      <c r="B484" s="11" t="s">
        <v>483</v>
      </c>
      <c r="C484" s="11" t="s">
        <v>484</v>
      </c>
      <c r="D484" s="12">
        <v>1015042</v>
      </c>
      <c r="E484" s="12">
        <v>2</v>
      </c>
      <c r="F484" s="12"/>
      <c r="G484" s="12">
        <v>260</v>
      </c>
      <c r="H484" s="12">
        <v>4.3</v>
      </c>
      <c r="I484" s="12"/>
      <c r="J484" s="12" t="s">
        <v>72</v>
      </c>
      <c r="K484" s="12" t="b">
        <v>1</v>
      </c>
      <c r="L484" s="12">
        <v>5</v>
      </c>
      <c r="M484" s="8">
        <v>2019</v>
      </c>
      <c r="N484" s="9">
        <v>1750000</v>
      </c>
      <c r="O484" s="9">
        <v>0</v>
      </c>
      <c r="P484" s="9">
        <v>1268067</v>
      </c>
      <c r="Q484" s="9">
        <v>1110000</v>
      </c>
      <c r="R484" s="13">
        <v>41815</v>
      </c>
      <c r="S484" s="13">
        <v>41815</v>
      </c>
    </row>
    <row r="485" spans="1:19">
      <c r="A485" s="10">
        <v>2014</v>
      </c>
      <c r="B485" s="11" t="s">
        <v>483</v>
      </c>
      <c r="C485" s="11" t="s">
        <v>484</v>
      </c>
      <c r="D485" s="12">
        <v>1015042</v>
      </c>
      <c r="E485" s="12">
        <v>2</v>
      </c>
      <c r="F485" s="12"/>
      <c r="G485" s="12">
        <v>260</v>
      </c>
      <c r="H485" s="12">
        <v>4.3</v>
      </c>
      <c r="I485" s="12"/>
      <c r="J485" s="12" t="s">
        <v>72</v>
      </c>
      <c r="K485" s="12" t="b">
        <v>1</v>
      </c>
      <c r="L485" s="12">
        <v>6</v>
      </c>
      <c r="M485" s="8">
        <v>2020</v>
      </c>
      <c r="N485" s="9">
        <v>1750000</v>
      </c>
      <c r="O485" s="9">
        <v>0</v>
      </c>
      <c r="P485" s="9">
        <v>1268067</v>
      </c>
      <c r="Q485" s="9">
        <v>1110000</v>
      </c>
      <c r="R485" s="13">
        <v>41815</v>
      </c>
      <c r="S485" s="13">
        <v>41815</v>
      </c>
    </row>
    <row r="486" spans="1:19">
      <c r="A486" s="10">
        <v>2014</v>
      </c>
      <c r="B486" s="11" t="s">
        <v>483</v>
      </c>
      <c r="C486" s="11" t="s">
        <v>484</v>
      </c>
      <c r="D486" s="12">
        <v>1015042</v>
      </c>
      <c r="E486" s="12">
        <v>2</v>
      </c>
      <c r="F486" s="12"/>
      <c r="G486" s="12">
        <v>260</v>
      </c>
      <c r="H486" s="12">
        <v>4.3</v>
      </c>
      <c r="I486" s="12"/>
      <c r="J486" s="12" t="s">
        <v>72</v>
      </c>
      <c r="K486" s="12" t="b">
        <v>1</v>
      </c>
      <c r="L486" s="12">
        <v>8</v>
      </c>
      <c r="M486" s="8">
        <v>2022</v>
      </c>
      <c r="N486" s="9">
        <v>1750000</v>
      </c>
      <c r="O486" s="9">
        <v>0</v>
      </c>
      <c r="P486" s="9">
        <v>1268067</v>
      </c>
      <c r="Q486" s="9">
        <v>1110000</v>
      </c>
      <c r="R486" s="13">
        <v>41815</v>
      </c>
      <c r="S486" s="13">
        <v>41815</v>
      </c>
    </row>
    <row r="487" spans="1:19">
      <c r="A487" s="10">
        <v>2014</v>
      </c>
      <c r="B487" s="11" t="s">
        <v>483</v>
      </c>
      <c r="C487" s="11" t="s">
        <v>484</v>
      </c>
      <c r="D487" s="12">
        <v>1015042</v>
      </c>
      <c r="E487" s="12">
        <v>2</v>
      </c>
      <c r="F487" s="12"/>
      <c r="G487" s="12">
        <v>260</v>
      </c>
      <c r="H487" s="12">
        <v>4.3</v>
      </c>
      <c r="I487" s="12"/>
      <c r="J487" s="12" t="s">
        <v>72</v>
      </c>
      <c r="K487" s="12" t="b">
        <v>1</v>
      </c>
      <c r="L487" s="12">
        <v>0</v>
      </c>
      <c r="M487" s="8">
        <v>2014</v>
      </c>
      <c r="N487" s="9">
        <v>1750000</v>
      </c>
      <c r="O487" s="9">
        <v>0</v>
      </c>
      <c r="P487" s="9">
        <v>1268067</v>
      </c>
      <c r="Q487" s="9">
        <v>1110000</v>
      </c>
      <c r="R487" s="13">
        <v>41815</v>
      </c>
      <c r="S487" s="13">
        <v>41815</v>
      </c>
    </row>
    <row r="488" spans="1:19">
      <c r="A488" s="10">
        <v>2014</v>
      </c>
      <c r="B488" s="11" t="s">
        <v>483</v>
      </c>
      <c r="C488" s="11" t="s">
        <v>484</v>
      </c>
      <c r="D488" s="12">
        <v>1015042</v>
      </c>
      <c r="E488" s="12">
        <v>2</v>
      </c>
      <c r="F488" s="12"/>
      <c r="G488" s="12">
        <v>260</v>
      </c>
      <c r="H488" s="12">
        <v>4.3</v>
      </c>
      <c r="I488" s="12"/>
      <c r="J488" s="12" t="s">
        <v>72</v>
      </c>
      <c r="K488" s="12" t="b">
        <v>1</v>
      </c>
      <c r="L488" s="12">
        <v>3</v>
      </c>
      <c r="M488" s="8">
        <v>2017</v>
      </c>
      <c r="N488" s="9">
        <v>1750000</v>
      </c>
      <c r="O488" s="9">
        <v>0</v>
      </c>
      <c r="P488" s="9">
        <v>1268067</v>
      </c>
      <c r="Q488" s="9">
        <v>1110000</v>
      </c>
      <c r="R488" s="13">
        <v>41815</v>
      </c>
      <c r="S488" s="13">
        <v>41815</v>
      </c>
    </row>
    <row r="489" spans="1:19">
      <c r="A489" s="10">
        <v>2014</v>
      </c>
      <c r="B489" s="11" t="s">
        <v>483</v>
      </c>
      <c r="C489" s="11" t="s">
        <v>484</v>
      </c>
      <c r="D489" s="12">
        <v>1015042</v>
      </c>
      <c r="E489" s="12">
        <v>2</v>
      </c>
      <c r="F489" s="12"/>
      <c r="G489" s="12">
        <v>300</v>
      </c>
      <c r="H489" s="12">
        <v>5</v>
      </c>
      <c r="I489" s="12" t="s">
        <v>368</v>
      </c>
      <c r="J489" s="12" t="s">
        <v>76</v>
      </c>
      <c r="K489" s="12" t="b">
        <v>0</v>
      </c>
      <c r="L489" s="12">
        <v>2</v>
      </c>
      <c r="M489" s="8">
        <v>2016</v>
      </c>
      <c r="N489" s="9">
        <v>1005325.64</v>
      </c>
      <c r="O489" s="9">
        <v>946446.93</v>
      </c>
      <c r="P489" s="9">
        <v>336951</v>
      </c>
      <c r="Q489" s="9">
        <v>336950.28</v>
      </c>
      <c r="R489" s="13">
        <v>41815</v>
      </c>
      <c r="S489" s="13">
        <v>41815</v>
      </c>
    </row>
    <row r="490" spans="1:19">
      <c r="A490" s="10">
        <v>2014</v>
      </c>
      <c r="B490" s="11" t="s">
        <v>483</v>
      </c>
      <c r="C490" s="11" t="s">
        <v>484</v>
      </c>
      <c r="D490" s="12">
        <v>1015042</v>
      </c>
      <c r="E490" s="12">
        <v>2</v>
      </c>
      <c r="F490" s="12"/>
      <c r="G490" s="12">
        <v>300</v>
      </c>
      <c r="H490" s="12">
        <v>5</v>
      </c>
      <c r="I490" s="12" t="s">
        <v>368</v>
      </c>
      <c r="J490" s="12" t="s">
        <v>76</v>
      </c>
      <c r="K490" s="12" t="b">
        <v>0</v>
      </c>
      <c r="L490" s="12">
        <v>5</v>
      </c>
      <c r="M490" s="8">
        <v>2019</v>
      </c>
      <c r="N490" s="9">
        <v>1005325.64</v>
      </c>
      <c r="O490" s="9">
        <v>946446.93</v>
      </c>
      <c r="P490" s="9">
        <v>336951</v>
      </c>
      <c r="Q490" s="9">
        <v>336950.28</v>
      </c>
      <c r="R490" s="13">
        <v>41815</v>
      </c>
      <c r="S490" s="13">
        <v>41815</v>
      </c>
    </row>
    <row r="491" spans="1:19">
      <c r="A491" s="10">
        <v>2014</v>
      </c>
      <c r="B491" s="11" t="s">
        <v>483</v>
      </c>
      <c r="C491" s="11" t="s">
        <v>484</v>
      </c>
      <c r="D491" s="12">
        <v>1015042</v>
      </c>
      <c r="E491" s="12">
        <v>2</v>
      </c>
      <c r="F491" s="12"/>
      <c r="G491" s="12">
        <v>300</v>
      </c>
      <c r="H491" s="12">
        <v>5</v>
      </c>
      <c r="I491" s="12" t="s">
        <v>368</v>
      </c>
      <c r="J491" s="12" t="s">
        <v>76</v>
      </c>
      <c r="K491" s="12" t="b">
        <v>0</v>
      </c>
      <c r="L491" s="12">
        <v>7</v>
      </c>
      <c r="M491" s="8">
        <v>2021</v>
      </c>
      <c r="N491" s="9">
        <v>1005325.64</v>
      </c>
      <c r="O491" s="9">
        <v>946446.93</v>
      </c>
      <c r="P491" s="9">
        <v>336951</v>
      </c>
      <c r="Q491" s="9">
        <v>336950.28</v>
      </c>
      <c r="R491" s="13">
        <v>41815</v>
      </c>
      <c r="S491" s="13">
        <v>41815</v>
      </c>
    </row>
    <row r="492" spans="1:19">
      <c r="A492" s="10">
        <v>2014</v>
      </c>
      <c r="B492" s="11" t="s">
        <v>483</v>
      </c>
      <c r="C492" s="11" t="s">
        <v>484</v>
      </c>
      <c r="D492" s="12">
        <v>1015042</v>
      </c>
      <c r="E492" s="12">
        <v>2</v>
      </c>
      <c r="F492" s="12"/>
      <c r="G492" s="12">
        <v>300</v>
      </c>
      <c r="H492" s="12">
        <v>5</v>
      </c>
      <c r="I492" s="12" t="s">
        <v>368</v>
      </c>
      <c r="J492" s="12" t="s">
        <v>76</v>
      </c>
      <c r="K492" s="12" t="b">
        <v>0</v>
      </c>
      <c r="L492" s="12">
        <v>4</v>
      </c>
      <c r="M492" s="8">
        <v>2018</v>
      </c>
      <c r="N492" s="9">
        <v>1005325.64</v>
      </c>
      <c r="O492" s="9">
        <v>946446.93</v>
      </c>
      <c r="P492" s="9">
        <v>336951</v>
      </c>
      <c r="Q492" s="9">
        <v>336950.28</v>
      </c>
      <c r="R492" s="13">
        <v>41815</v>
      </c>
      <c r="S492" s="13">
        <v>41815</v>
      </c>
    </row>
    <row r="493" spans="1:19">
      <c r="A493" s="10">
        <v>2014</v>
      </c>
      <c r="B493" s="11" t="s">
        <v>483</v>
      </c>
      <c r="C493" s="11" t="s">
        <v>484</v>
      </c>
      <c r="D493" s="12">
        <v>1015042</v>
      </c>
      <c r="E493" s="12">
        <v>2</v>
      </c>
      <c r="F493" s="12"/>
      <c r="G493" s="12">
        <v>300</v>
      </c>
      <c r="H493" s="12">
        <v>5</v>
      </c>
      <c r="I493" s="12" t="s">
        <v>368</v>
      </c>
      <c r="J493" s="12" t="s">
        <v>76</v>
      </c>
      <c r="K493" s="12" t="b">
        <v>0</v>
      </c>
      <c r="L493" s="12">
        <v>3</v>
      </c>
      <c r="M493" s="8">
        <v>2017</v>
      </c>
      <c r="N493" s="9">
        <v>1005325.64</v>
      </c>
      <c r="O493" s="9">
        <v>946446.93</v>
      </c>
      <c r="P493" s="9">
        <v>336951</v>
      </c>
      <c r="Q493" s="9">
        <v>336950.28</v>
      </c>
      <c r="R493" s="13">
        <v>41815</v>
      </c>
      <c r="S493" s="13">
        <v>41815</v>
      </c>
    </row>
    <row r="494" spans="1:19">
      <c r="A494" s="10">
        <v>2014</v>
      </c>
      <c r="B494" s="11" t="s">
        <v>483</v>
      </c>
      <c r="C494" s="11" t="s">
        <v>484</v>
      </c>
      <c r="D494" s="12">
        <v>1015042</v>
      </c>
      <c r="E494" s="12">
        <v>2</v>
      </c>
      <c r="F494" s="12"/>
      <c r="G494" s="12">
        <v>300</v>
      </c>
      <c r="H494" s="12">
        <v>5</v>
      </c>
      <c r="I494" s="12" t="s">
        <v>368</v>
      </c>
      <c r="J494" s="12" t="s">
        <v>76</v>
      </c>
      <c r="K494" s="12" t="b">
        <v>0</v>
      </c>
      <c r="L494" s="12">
        <v>0</v>
      </c>
      <c r="M494" s="8">
        <v>2014</v>
      </c>
      <c r="N494" s="9">
        <v>1005325.64</v>
      </c>
      <c r="O494" s="9">
        <v>946446.93</v>
      </c>
      <c r="P494" s="9">
        <v>336951</v>
      </c>
      <c r="Q494" s="9">
        <v>336950.28</v>
      </c>
      <c r="R494" s="13">
        <v>41815</v>
      </c>
      <c r="S494" s="13">
        <v>41815</v>
      </c>
    </row>
    <row r="495" spans="1:19">
      <c r="A495" s="10">
        <v>2014</v>
      </c>
      <c r="B495" s="11" t="s">
        <v>483</v>
      </c>
      <c r="C495" s="11" t="s">
        <v>484</v>
      </c>
      <c r="D495" s="12">
        <v>1015042</v>
      </c>
      <c r="E495" s="12">
        <v>2</v>
      </c>
      <c r="F495" s="12"/>
      <c r="G495" s="12">
        <v>300</v>
      </c>
      <c r="H495" s="12">
        <v>5</v>
      </c>
      <c r="I495" s="12" t="s">
        <v>368</v>
      </c>
      <c r="J495" s="12" t="s">
        <v>76</v>
      </c>
      <c r="K495" s="12" t="b">
        <v>0</v>
      </c>
      <c r="L495" s="12">
        <v>6</v>
      </c>
      <c r="M495" s="8">
        <v>2020</v>
      </c>
      <c r="N495" s="9">
        <v>1005325.64</v>
      </c>
      <c r="O495" s="9">
        <v>946446.93</v>
      </c>
      <c r="P495" s="9">
        <v>336951</v>
      </c>
      <c r="Q495" s="9">
        <v>336950.28</v>
      </c>
      <c r="R495" s="13">
        <v>41815</v>
      </c>
      <c r="S495" s="13">
        <v>41815</v>
      </c>
    </row>
    <row r="496" spans="1:19">
      <c r="A496" s="10">
        <v>2014</v>
      </c>
      <c r="B496" s="11" t="s">
        <v>483</v>
      </c>
      <c r="C496" s="11" t="s">
        <v>484</v>
      </c>
      <c r="D496" s="12">
        <v>1015042</v>
      </c>
      <c r="E496" s="12">
        <v>2</v>
      </c>
      <c r="F496" s="12"/>
      <c r="G496" s="12">
        <v>300</v>
      </c>
      <c r="H496" s="12">
        <v>5</v>
      </c>
      <c r="I496" s="12" t="s">
        <v>368</v>
      </c>
      <c r="J496" s="12" t="s">
        <v>76</v>
      </c>
      <c r="K496" s="12" t="b">
        <v>0</v>
      </c>
      <c r="L496" s="12">
        <v>1</v>
      </c>
      <c r="M496" s="8">
        <v>2015</v>
      </c>
      <c r="N496" s="9">
        <v>1005325.64</v>
      </c>
      <c r="O496" s="9">
        <v>946446.93</v>
      </c>
      <c r="P496" s="9">
        <v>336951</v>
      </c>
      <c r="Q496" s="9">
        <v>336950.28</v>
      </c>
      <c r="R496" s="13">
        <v>41815</v>
      </c>
      <c r="S496" s="13">
        <v>41815</v>
      </c>
    </row>
    <row r="497" spans="1:19">
      <c r="A497" s="10">
        <v>2014</v>
      </c>
      <c r="B497" s="11" t="s">
        <v>483</v>
      </c>
      <c r="C497" s="11" t="s">
        <v>484</v>
      </c>
      <c r="D497" s="12">
        <v>1015042</v>
      </c>
      <c r="E497" s="12">
        <v>2</v>
      </c>
      <c r="F497" s="12"/>
      <c r="G497" s="12">
        <v>300</v>
      </c>
      <c r="H497" s="12">
        <v>5</v>
      </c>
      <c r="I497" s="12" t="s">
        <v>368</v>
      </c>
      <c r="J497" s="12" t="s">
        <v>76</v>
      </c>
      <c r="K497" s="12" t="b">
        <v>0</v>
      </c>
      <c r="L497" s="12">
        <v>8</v>
      </c>
      <c r="M497" s="8">
        <v>2022</v>
      </c>
      <c r="N497" s="9">
        <v>1005325.64</v>
      </c>
      <c r="O497" s="9">
        <v>946446.93</v>
      </c>
      <c r="P497" s="9">
        <v>336951</v>
      </c>
      <c r="Q497" s="9">
        <v>336950.28</v>
      </c>
      <c r="R497" s="13">
        <v>41815</v>
      </c>
      <c r="S497" s="13">
        <v>41815</v>
      </c>
    </row>
    <row r="498" spans="1:19">
      <c r="A498" s="10">
        <v>2014</v>
      </c>
      <c r="B498" s="11" t="s">
        <v>483</v>
      </c>
      <c r="C498" s="11" t="s">
        <v>484</v>
      </c>
      <c r="D498" s="12">
        <v>1015042</v>
      </c>
      <c r="E498" s="12">
        <v>2</v>
      </c>
      <c r="F498" s="12"/>
      <c r="G498" s="12">
        <v>90</v>
      </c>
      <c r="H498" s="12">
        <v>1.2</v>
      </c>
      <c r="I498" s="12"/>
      <c r="J498" s="12" t="s">
        <v>53</v>
      </c>
      <c r="K498" s="12" t="b">
        <v>1</v>
      </c>
      <c r="L498" s="12">
        <v>4</v>
      </c>
      <c r="M498" s="8">
        <v>2018</v>
      </c>
      <c r="N498" s="9">
        <v>2004388.3</v>
      </c>
      <c r="O498" s="9">
        <v>2074146.55</v>
      </c>
      <c r="P498" s="9">
        <v>1793679.55</v>
      </c>
      <c r="Q498" s="9">
        <v>1225362.43</v>
      </c>
      <c r="R498" s="13">
        <v>41815</v>
      </c>
      <c r="S498" s="13">
        <v>41815</v>
      </c>
    </row>
    <row r="499" spans="1:19">
      <c r="A499" s="10">
        <v>2014</v>
      </c>
      <c r="B499" s="11" t="s">
        <v>483</v>
      </c>
      <c r="C499" s="11" t="s">
        <v>484</v>
      </c>
      <c r="D499" s="12">
        <v>1015042</v>
      </c>
      <c r="E499" s="12">
        <v>2</v>
      </c>
      <c r="F499" s="12"/>
      <c r="G499" s="12">
        <v>90</v>
      </c>
      <c r="H499" s="12">
        <v>1.2</v>
      </c>
      <c r="I499" s="12"/>
      <c r="J499" s="12" t="s">
        <v>53</v>
      </c>
      <c r="K499" s="12" t="b">
        <v>1</v>
      </c>
      <c r="L499" s="12">
        <v>0</v>
      </c>
      <c r="M499" s="8">
        <v>2014</v>
      </c>
      <c r="N499" s="9">
        <v>2004388.3</v>
      </c>
      <c r="O499" s="9">
        <v>2074146.55</v>
      </c>
      <c r="P499" s="9">
        <v>1793679.55</v>
      </c>
      <c r="Q499" s="9">
        <v>1225362.43</v>
      </c>
      <c r="R499" s="13">
        <v>41815</v>
      </c>
      <c r="S499" s="13">
        <v>41815</v>
      </c>
    </row>
    <row r="500" spans="1:19">
      <c r="A500" s="10">
        <v>2014</v>
      </c>
      <c r="B500" s="11" t="s">
        <v>483</v>
      </c>
      <c r="C500" s="11" t="s">
        <v>484</v>
      </c>
      <c r="D500" s="12">
        <v>1015042</v>
      </c>
      <c r="E500" s="12">
        <v>2</v>
      </c>
      <c r="F500" s="12"/>
      <c r="G500" s="12">
        <v>90</v>
      </c>
      <c r="H500" s="12">
        <v>1.2</v>
      </c>
      <c r="I500" s="12"/>
      <c r="J500" s="12" t="s">
        <v>53</v>
      </c>
      <c r="K500" s="12" t="b">
        <v>1</v>
      </c>
      <c r="L500" s="12">
        <v>1</v>
      </c>
      <c r="M500" s="8">
        <v>2015</v>
      </c>
      <c r="N500" s="9">
        <v>2004388.3</v>
      </c>
      <c r="O500" s="9">
        <v>2074146.55</v>
      </c>
      <c r="P500" s="9">
        <v>1793679.55</v>
      </c>
      <c r="Q500" s="9">
        <v>1225362.43</v>
      </c>
      <c r="R500" s="13">
        <v>41815</v>
      </c>
      <c r="S500" s="13">
        <v>41815</v>
      </c>
    </row>
    <row r="501" spans="1:19">
      <c r="A501" s="10">
        <v>2014</v>
      </c>
      <c r="B501" s="11" t="s">
        <v>483</v>
      </c>
      <c r="C501" s="11" t="s">
        <v>484</v>
      </c>
      <c r="D501" s="12">
        <v>1015042</v>
      </c>
      <c r="E501" s="12">
        <v>2</v>
      </c>
      <c r="F501" s="12"/>
      <c r="G501" s="12">
        <v>90</v>
      </c>
      <c r="H501" s="12">
        <v>1.2</v>
      </c>
      <c r="I501" s="12"/>
      <c r="J501" s="12" t="s">
        <v>53</v>
      </c>
      <c r="K501" s="12" t="b">
        <v>1</v>
      </c>
      <c r="L501" s="12">
        <v>8</v>
      </c>
      <c r="M501" s="8">
        <v>2022</v>
      </c>
      <c r="N501" s="9">
        <v>2004388.3</v>
      </c>
      <c r="O501" s="9">
        <v>2074146.55</v>
      </c>
      <c r="P501" s="9">
        <v>1793679.55</v>
      </c>
      <c r="Q501" s="9">
        <v>1225362.43</v>
      </c>
      <c r="R501" s="13">
        <v>41815</v>
      </c>
      <c r="S501" s="13">
        <v>41815</v>
      </c>
    </row>
    <row r="502" spans="1:19">
      <c r="A502" s="10">
        <v>2014</v>
      </c>
      <c r="B502" s="11" t="s">
        <v>483</v>
      </c>
      <c r="C502" s="11" t="s">
        <v>484</v>
      </c>
      <c r="D502" s="12">
        <v>1015042</v>
      </c>
      <c r="E502" s="12">
        <v>2</v>
      </c>
      <c r="F502" s="12"/>
      <c r="G502" s="12">
        <v>90</v>
      </c>
      <c r="H502" s="12">
        <v>1.2</v>
      </c>
      <c r="I502" s="12"/>
      <c r="J502" s="12" t="s">
        <v>53</v>
      </c>
      <c r="K502" s="12" t="b">
        <v>1</v>
      </c>
      <c r="L502" s="12">
        <v>3</v>
      </c>
      <c r="M502" s="8">
        <v>2017</v>
      </c>
      <c r="N502" s="9">
        <v>2004388.3</v>
      </c>
      <c r="O502" s="9">
        <v>2074146.55</v>
      </c>
      <c r="P502" s="9">
        <v>1793679.55</v>
      </c>
      <c r="Q502" s="9">
        <v>1225362.43</v>
      </c>
      <c r="R502" s="13">
        <v>41815</v>
      </c>
      <c r="S502" s="13">
        <v>41815</v>
      </c>
    </row>
    <row r="503" spans="1:19">
      <c r="A503" s="10">
        <v>2014</v>
      </c>
      <c r="B503" s="11" t="s">
        <v>483</v>
      </c>
      <c r="C503" s="11" t="s">
        <v>484</v>
      </c>
      <c r="D503" s="12">
        <v>1015042</v>
      </c>
      <c r="E503" s="12">
        <v>2</v>
      </c>
      <c r="F503" s="12"/>
      <c r="G503" s="12">
        <v>90</v>
      </c>
      <c r="H503" s="12">
        <v>1.2</v>
      </c>
      <c r="I503" s="12"/>
      <c r="J503" s="12" t="s">
        <v>53</v>
      </c>
      <c r="K503" s="12" t="b">
        <v>1</v>
      </c>
      <c r="L503" s="12">
        <v>6</v>
      </c>
      <c r="M503" s="8">
        <v>2020</v>
      </c>
      <c r="N503" s="9">
        <v>2004388.3</v>
      </c>
      <c r="O503" s="9">
        <v>2074146.55</v>
      </c>
      <c r="P503" s="9">
        <v>1793679.55</v>
      </c>
      <c r="Q503" s="9">
        <v>1225362.43</v>
      </c>
      <c r="R503" s="13">
        <v>41815</v>
      </c>
      <c r="S503" s="13">
        <v>41815</v>
      </c>
    </row>
    <row r="504" spans="1:19">
      <c r="A504" s="10">
        <v>2014</v>
      </c>
      <c r="B504" s="11" t="s">
        <v>483</v>
      </c>
      <c r="C504" s="11" t="s">
        <v>484</v>
      </c>
      <c r="D504" s="12">
        <v>1015042</v>
      </c>
      <c r="E504" s="12">
        <v>2</v>
      </c>
      <c r="F504" s="12"/>
      <c r="G504" s="12">
        <v>90</v>
      </c>
      <c r="H504" s="12">
        <v>1.2</v>
      </c>
      <c r="I504" s="12"/>
      <c r="J504" s="12" t="s">
        <v>53</v>
      </c>
      <c r="K504" s="12" t="b">
        <v>1</v>
      </c>
      <c r="L504" s="12">
        <v>5</v>
      </c>
      <c r="M504" s="8">
        <v>2019</v>
      </c>
      <c r="N504" s="9">
        <v>2004388.3</v>
      </c>
      <c r="O504" s="9">
        <v>2074146.55</v>
      </c>
      <c r="P504" s="9">
        <v>1793679.55</v>
      </c>
      <c r="Q504" s="9">
        <v>1225362.43</v>
      </c>
      <c r="R504" s="13">
        <v>41815</v>
      </c>
      <c r="S504" s="13">
        <v>41815</v>
      </c>
    </row>
    <row r="505" spans="1:19">
      <c r="A505" s="10">
        <v>2014</v>
      </c>
      <c r="B505" s="11" t="s">
        <v>483</v>
      </c>
      <c r="C505" s="11" t="s">
        <v>484</v>
      </c>
      <c r="D505" s="12">
        <v>1015042</v>
      </c>
      <c r="E505" s="12">
        <v>2</v>
      </c>
      <c r="F505" s="12"/>
      <c r="G505" s="12">
        <v>90</v>
      </c>
      <c r="H505" s="12">
        <v>1.2</v>
      </c>
      <c r="I505" s="12"/>
      <c r="J505" s="12" t="s">
        <v>53</v>
      </c>
      <c r="K505" s="12" t="b">
        <v>1</v>
      </c>
      <c r="L505" s="12">
        <v>2</v>
      </c>
      <c r="M505" s="8">
        <v>2016</v>
      </c>
      <c r="N505" s="9">
        <v>2004388.3</v>
      </c>
      <c r="O505" s="9">
        <v>2074146.55</v>
      </c>
      <c r="P505" s="9">
        <v>1793679.55</v>
      </c>
      <c r="Q505" s="9">
        <v>1225362.43</v>
      </c>
      <c r="R505" s="13">
        <v>41815</v>
      </c>
      <c r="S505" s="13">
        <v>41815</v>
      </c>
    </row>
    <row r="506" spans="1:19">
      <c r="A506" s="10">
        <v>2014</v>
      </c>
      <c r="B506" s="11" t="s">
        <v>483</v>
      </c>
      <c r="C506" s="11" t="s">
        <v>484</v>
      </c>
      <c r="D506" s="12">
        <v>1015042</v>
      </c>
      <c r="E506" s="12">
        <v>2</v>
      </c>
      <c r="F506" s="12"/>
      <c r="G506" s="12">
        <v>90</v>
      </c>
      <c r="H506" s="12">
        <v>1.2</v>
      </c>
      <c r="I506" s="12"/>
      <c r="J506" s="12" t="s">
        <v>53</v>
      </c>
      <c r="K506" s="12" t="b">
        <v>1</v>
      </c>
      <c r="L506" s="12">
        <v>7</v>
      </c>
      <c r="M506" s="8">
        <v>2021</v>
      </c>
      <c r="N506" s="9">
        <v>2004388.3</v>
      </c>
      <c r="O506" s="9">
        <v>2074146.55</v>
      </c>
      <c r="P506" s="9">
        <v>1793679.55</v>
      </c>
      <c r="Q506" s="9">
        <v>1225362.43</v>
      </c>
      <c r="R506" s="13">
        <v>41815</v>
      </c>
      <c r="S506" s="13">
        <v>41815</v>
      </c>
    </row>
    <row r="507" spans="1:19">
      <c r="A507" s="10">
        <v>2014</v>
      </c>
      <c r="B507" s="11" t="s">
        <v>483</v>
      </c>
      <c r="C507" s="11" t="s">
        <v>484</v>
      </c>
      <c r="D507" s="12">
        <v>1015042</v>
      </c>
      <c r="E507" s="12">
        <v>2</v>
      </c>
      <c r="F507" s="12"/>
      <c r="G507" s="12">
        <v>763</v>
      </c>
      <c r="H507" s="12">
        <v>12.5</v>
      </c>
      <c r="I507" s="12"/>
      <c r="J507" s="12" t="s">
        <v>398</v>
      </c>
      <c r="K507" s="12" t="b">
        <v>1</v>
      </c>
      <c r="L507" s="12">
        <v>8</v>
      </c>
      <c r="M507" s="8">
        <v>2022</v>
      </c>
      <c r="N507" s="9">
        <v>0</v>
      </c>
      <c r="O507" s="9">
        <v>0</v>
      </c>
      <c r="P507" s="9">
        <v>834069</v>
      </c>
      <c r="Q507" s="9">
        <v>847248.02</v>
      </c>
      <c r="R507" s="13">
        <v>41815</v>
      </c>
      <c r="S507" s="13">
        <v>41815</v>
      </c>
    </row>
    <row r="508" spans="1:19">
      <c r="A508" s="10">
        <v>2014</v>
      </c>
      <c r="B508" s="11" t="s">
        <v>483</v>
      </c>
      <c r="C508" s="11" t="s">
        <v>484</v>
      </c>
      <c r="D508" s="12">
        <v>1015042</v>
      </c>
      <c r="E508" s="12">
        <v>2</v>
      </c>
      <c r="F508" s="12"/>
      <c r="G508" s="12">
        <v>763</v>
      </c>
      <c r="H508" s="12">
        <v>12.5</v>
      </c>
      <c r="I508" s="12"/>
      <c r="J508" s="12" t="s">
        <v>398</v>
      </c>
      <c r="K508" s="12" t="b">
        <v>1</v>
      </c>
      <c r="L508" s="12">
        <v>0</v>
      </c>
      <c r="M508" s="8">
        <v>2014</v>
      </c>
      <c r="N508" s="9">
        <v>0</v>
      </c>
      <c r="O508" s="9">
        <v>0</v>
      </c>
      <c r="P508" s="9">
        <v>834069</v>
      </c>
      <c r="Q508" s="9">
        <v>847248.02</v>
      </c>
      <c r="R508" s="13">
        <v>41815</v>
      </c>
      <c r="S508" s="13">
        <v>41815</v>
      </c>
    </row>
    <row r="509" spans="1:19">
      <c r="A509" s="10">
        <v>2014</v>
      </c>
      <c r="B509" s="11" t="s">
        <v>483</v>
      </c>
      <c r="C509" s="11" t="s">
        <v>484</v>
      </c>
      <c r="D509" s="12">
        <v>1015042</v>
      </c>
      <c r="E509" s="12">
        <v>2</v>
      </c>
      <c r="F509" s="12"/>
      <c r="G509" s="12">
        <v>763</v>
      </c>
      <c r="H509" s="12">
        <v>12.5</v>
      </c>
      <c r="I509" s="12"/>
      <c r="J509" s="12" t="s">
        <v>398</v>
      </c>
      <c r="K509" s="12" t="b">
        <v>1</v>
      </c>
      <c r="L509" s="12">
        <v>1</v>
      </c>
      <c r="M509" s="8">
        <v>2015</v>
      </c>
      <c r="N509" s="9">
        <v>0</v>
      </c>
      <c r="O509" s="9">
        <v>0</v>
      </c>
      <c r="P509" s="9">
        <v>834069</v>
      </c>
      <c r="Q509" s="9">
        <v>847248.02</v>
      </c>
      <c r="R509" s="13">
        <v>41815</v>
      </c>
      <c r="S509" s="13">
        <v>41815</v>
      </c>
    </row>
    <row r="510" spans="1:19">
      <c r="A510" s="10">
        <v>2014</v>
      </c>
      <c r="B510" s="11" t="s">
        <v>483</v>
      </c>
      <c r="C510" s="11" t="s">
        <v>484</v>
      </c>
      <c r="D510" s="12">
        <v>1015042</v>
      </c>
      <c r="E510" s="12">
        <v>2</v>
      </c>
      <c r="F510" s="12"/>
      <c r="G510" s="12">
        <v>763</v>
      </c>
      <c r="H510" s="12">
        <v>12.5</v>
      </c>
      <c r="I510" s="12"/>
      <c r="J510" s="12" t="s">
        <v>398</v>
      </c>
      <c r="K510" s="12" t="b">
        <v>1</v>
      </c>
      <c r="L510" s="12">
        <v>2</v>
      </c>
      <c r="M510" s="8">
        <v>2016</v>
      </c>
      <c r="N510" s="9">
        <v>0</v>
      </c>
      <c r="O510" s="9">
        <v>0</v>
      </c>
      <c r="P510" s="9">
        <v>834069</v>
      </c>
      <c r="Q510" s="9">
        <v>847248.02</v>
      </c>
      <c r="R510" s="13">
        <v>41815</v>
      </c>
      <c r="S510" s="13">
        <v>41815</v>
      </c>
    </row>
    <row r="511" spans="1:19">
      <c r="A511" s="10">
        <v>2014</v>
      </c>
      <c r="B511" s="11" t="s">
        <v>483</v>
      </c>
      <c r="C511" s="11" t="s">
        <v>484</v>
      </c>
      <c r="D511" s="12">
        <v>1015042</v>
      </c>
      <c r="E511" s="12">
        <v>2</v>
      </c>
      <c r="F511" s="12"/>
      <c r="G511" s="12">
        <v>763</v>
      </c>
      <c r="H511" s="12">
        <v>12.5</v>
      </c>
      <c r="I511" s="12"/>
      <c r="J511" s="12" t="s">
        <v>398</v>
      </c>
      <c r="K511" s="12" t="b">
        <v>1</v>
      </c>
      <c r="L511" s="12">
        <v>6</v>
      </c>
      <c r="M511" s="8">
        <v>2020</v>
      </c>
      <c r="N511" s="9">
        <v>0</v>
      </c>
      <c r="O511" s="9">
        <v>0</v>
      </c>
      <c r="P511" s="9">
        <v>834069</v>
      </c>
      <c r="Q511" s="9">
        <v>847248.02</v>
      </c>
      <c r="R511" s="13">
        <v>41815</v>
      </c>
      <c r="S511" s="13">
        <v>41815</v>
      </c>
    </row>
    <row r="512" spans="1:19">
      <c r="A512" s="10">
        <v>2014</v>
      </c>
      <c r="B512" s="11" t="s">
        <v>483</v>
      </c>
      <c r="C512" s="11" t="s">
        <v>484</v>
      </c>
      <c r="D512" s="12">
        <v>1015042</v>
      </c>
      <c r="E512" s="12">
        <v>2</v>
      </c>
      <c r="F512" s="12"/>
      <c r="G512" s="12">
        <v>763</v>
      </c>
      <c r="H512" s="12">
        <v>12.5</v>
      </c>
      <c r="I512" s="12"/>
      <c r="J512" s="12" t="s">
        <v>398</v>
      </c>
      <c r="K512" s="12" t="b">
        <v>1</v>
      </c>
      <c r="L512" s="12">
        <v>4</v>
      </c>
      <c r="M512" s="8">
        <v>2018</v>
      </c>
      <c r="N512" s="9">
        <v>0</v>
      </c>
      <c r="O512" s="9">
        <v>0</v>
      </c>
      <c r="P512" s="9">
        <v>834069</v>
      </c>
      <c r="Q512" s="9">
        <v>847248.02</v>
      </c>
      <c r="R512" s="13">
        <v>41815</v>
      </c>
      <c r="S512" s="13">
        <v>41815</v>
      </c>
    </row>
    <row r="513" spans="1:19">
      <c r="A513" s="10">
        <v>2014</v>
      </c>
      <c r="B513" s="11" t="s">
        <v>483</v>
      </c>
      <c r="C513" s="11" t="s">
        <v>484</v>
      </c>
      <c r="D513" s="12">
        <v>1015042</v>
      </c>
      <c r="E513" s="12">
        <v>2</v>
      </c>
      <c r="F513" s="12"/>
      <c r="G513" s="12">
        <v>763</v>
      </c>
      <c r="H513" s="12">
        <v>12.5</v>
      </c>
      <c r="I513" s="12"/>
      <c r="J513" s="12" t="s">
        <v>398</v>
      </c>
      <c r="K513" s="12" t="b">
        <v>1</v>
      </c>
      <c r="L513" s="12">
        <v>3</v>
      </c>
      <c r="M513" s="8">
        <v>2017</v>
      </c>
      <c r="N513" s="9">
        <v>0</v>
      </c>
      <c r="O513" s="9">
        <v>0</v>
      </c>
      <c r="P513" s="9">
        <v>834069</v>
      </c>
      <c r="Q513" s="9">
        <v>847248.02</v>
      </c>
      <c r="R513" s="13">
        <v>41815</v>
      </c>
      <c r="S513" s="13">
        <v>41815</v>
      </c>
    </row>
    <row r="514" spans="1:19">
      <c r="A514" s="10">
        <v>2014</v>
      </c>
      <c r="B514" s="11" t="s">
        <v>483</v>
      </c>
      <c r="C514" s="11" t="s">
        <v>484</v>
      </c>
      <c r="D514" s="12">
        <v>1015042</v>
      </c>
      <c r="E514" s="12">
        <v>2</v>
      </c>
      <c r="F514" s="12"/>
      <c r="G514" s="12">
        <v>763</v>
      </c>
      <c r="H514" s="12">
        <v>12.5</v>
      </c>
      <c r="I514" s="12"/>
      <c r="J514" s="12" t="s">
        <v>398</v>
      </c>
      <c r="K514" s="12" t="b">
        <v>1</v>
      </c>
      <c r="L514" s="12">
        <v>7</v>
      </c>
      <c r="M514" s="8">
        <v>2021</v>
      </c>
      <c r="N514" s="9">
        <v>0</v>
      </c>
      <c r="O514" s="9">
        <v>0</v>
      </c>
      <c r="P514" s="9">
        <v>834069</v>
      </c>
      <c r="Q514" s="9">
        <v>847248.02</v>
      </c>
      <c r="R514" s="13">
        <v>41815</v>
      </c>
      <c r="S514" s="13">
        <v>41815</v>
      </c>
    </row>
    <row r="515" spans="1:19">
      <c r="A515" s="10">
        <v>2014</v>
      </c>
      <c r="B515" s="11" t="s">
        <v>483</v>
      </c>
      <c r="C515" s="11" t="s">
        <v>484</v>
      </c>
      <c r="D515" s="12">
        <v>1015042</v>
      </c>
      <c r="E515" s="12">
        <v>2</v>
      </c>
      <c r="F515" s="12"/>
      <c r="G515" s="12">
        <v>120</v>
      </c>
      <c r="H515" s="12">
        <v>2</v>
      </c>
      <c r="I515" s="12" t="s">
        <v>485</v>
      </c>
      <c r="J515" s="12" t="s">
        <v>19</v>
      </c>
      <c r="K515" s="12" t="b">
        <v>0</v>
      </c>
      <c r="L515" s="12">
        <v>2</v>
      </c>
      <c r="M515" s="8">
        <v>2016</v>
      </c>
      <c r="N515" s="9">
        <v>10779094.59</v>
      </c>
      <c r="O515" s="9">
        <v>9050022.6400000006</v>
      </c>
      <c r="P515" s="9">
        <v>10587520.99</v>
      </c>
      <c r="Q515" s="9">
        <v>9708899.1999999993</v>
      </c>
      <c r="R515" s="13">
        <v>41815</v>
      </c>
      <c r="S515" s="13">
        <v>41815</v>
      </c>
    </row>
    <row r="516" spans="1:19">
      <c r="A516" s="10">
        <v>2014</v>
      </c>
      <c r="B516" s="11" t="s">
        <v>483</v>
      </c>
      <c r="C516" s="11" t="s">
        <v>484</v>
      </c>
      <c r="D516" s="12">
        <v>1015042</v>
      </c>
      <c r="E516" s="12">
        <v>2</v>
      </c>
      <c r="F516" s="12"/>
      <c r="G516" s="12">
        <v>120</v>
      </c>
      <c r="H516" s="12">
        <v>2</v>
      </c>
      <c r="I516" s="12" t="s">
        <v>485</v>
      </c>
      <c r="J516" s="12" t="s">
        <v>19</v>
      </c>
      <c r="K516" s="12" t="b">
        <v>0</v>
      </c>
      <c r="L516" s="12">
        <v>4</v>
      </c>
      <c r="M516" s="8">
        <v>2018</v>
      </c>
      <c r="N516" s="9">
        <v>10779094.59</v>
      </c>
      <c r="O516" s="9">
        <v>9050022.6400000006</v>
      </c>
      <c r="P516" s="9">
        <v>10587520.99</v>
      </c>
      <c r="Q516" s="9">
        <v>9708899.1999999993</v>
      </c>
      <c r="R516" s="13">
        <v>41815</v>
      </c>
      <c r="S516" s="13">
        <v>41815</v>
      </c>
    </row>
    <row r="517" spans="1:19">
      <c r="A517" s="10">
        <v>2014</v>
      </c>
      <c r="B517" s="11" t="s">
        <v>483</v>
      </c>
      <c r="C517" s="11" t="s">
        <v>484</v>
      </c>
      <c r="D517" s="12">
        <v>1015042</v>
      </c>
      <c r="E517" s="12">
        <v>2</v>
      </c>
      <c r="F517" s="12"/>
      <c r="G517" s="12">
        <v>763</v>
      </c>
      <c r="H517" s="12">
        <v>12.5</v>
      </c>
      <c r="I517" s="12"/>
      <c r="J517" s="12" t="s">
        <v>398</v>
      </c>
      <c r="K517" s="12" t="b">
        <v>1</v>
      </c>
      <c r="L517" s="12">
        <v>5</v>
      </c>
      <c r="M517" s="8">
        <v>2019</v>
      </c>
      <c r="N517" s="9">
        <v>0</v>
      </c>
      <c r="O517" s="9">
        <v>0</v>
      </c>
      <c r="P517" s="9">
        <v>834069</v>
      </c>
      <c r="Q517" s="9">
        <v>847248.02</v>
      </c>
      <c r="R517" s="13">
        <v>41815</v>
      </c>
      <c r="S517" s="13">
        <v>41815</v>
      </c>
    </row>
    <row r="518" spans="1:19">
      <c r="A518" s="10">
        <v>2014</v>
      </c>
      <c r="B518" s="11" t="s">
        <v>483</v>
      </c>
      <c r="C518" s="11" t="s">
        <v>484</v>
      </c>
      <c r="D518" s="12">
        <v>1015042</v>
      </c>
      <c r="E518" s="12">
        <v>2</v>
      </c>
      <c r="F518" s="12"/>
      <c r="G518" s="12">
        <v>860</v>
      </c>
      <c r="H518" s="12">
        <v>13.7</v>
      </c>
      <c r="I518" s="12"/>
      <c r="J518" s="12" t="s">
        <v>125</v>
      </c>
      <c r="K518" s="12" t="b">
        <v>1</v>
      </c>
      <c r="L518" s="12">
        <v>1</v>
      </c>
      <c r="M518" s="8">
        <v>2015</v>
      </c>
      <c r="N518" s="9">
        <v>0</v>
      </c>
      <c r="O518" s="9">
        <v>0</v>
      </c>
      <c r="P518" s="9">
        <v>0</v>
      </c>
      <c r="Q518" s="9">
        <v>0</v>
      </c>
      <c r="R518" s="13">
        <v>41815</v>
      </c>
      <c r="S518" s="13">
        <v>41815</v>
      </c>
    </row>
    <row r="519" spans="1:19">
      <c r="A519" s="10">
        <v>2014</v>
      </c>
      <c r="B519" s="11" t="s">
        <v>483</v>
      </c>
      <c r="C519" s="11" t="s">
        <v>484</v>
      </c>
      <c r="D519" s="12">
        <v>1015042</v>
      </c>
      <c r="E519" s="12">
        <v>2</v>
      </c>
      <c r="F519" s="12"/>
      <c r="G519" s="12">
        <v>860</v>
      </c>
      <c r="H519" s="12">
        <v>13.7</v>
      </c>
      <c r="I519" s="12"/>
      <c r="J519" s="12" t="s">
        <v>125</v>
      </c>
      <c r="K519" s="12" t="b">
        <v>1</v>
      </c>
      <c r="L519" s="12">
        <v>2</v>
      </c>
      <c r="M519" s="8">
        <v>2016</v>
      </c>
      <c r="N519" s="9">
        <v>0</v>
      </c>
      <c r="O519" s="9">
        <v>0</v>
      </c>
      <c r="P519" s="9">
        <v>0</v>
      </c>
      <c r="Q519" s="9">
        <v>0</v>
      </c>
      <c r="R519" s="13">
        <v>41815</v>
      </c>
      <c r="S519" s="13">
        <v>41815</v>
      </c>
    </row>
    <row r="520" spans="1:19">
      <c r="A520" s="10">
        <v>2014</v>
      </c>
      <c r="B520" s="11" t="s">
        <v>483</v>
      </c>
      <c r="C520" s="11" t="s">
        <v>484</v>
      </c>
      <c r="D520" s="12">
        <v>1015042</v>
      </c>
      <c r="E520" s="12">
        <v>2</v>
      </c>
      <c r="F520" s="12"/>
      <c r="G520" s="12">
        <v>860</v>
      </c>
      <c r="H520" s="12">
        <v>13.7</v>
      </c>
      <c r="I520" s="12"/>
      <c r="J520" s="12" t="s">
        <v>125</v>
      </c>
      <c r="K520" s="12" t="b">
        <v>1</v>
      </c>
      <c r="L520" s="12">
        <v>0</v>
      </c>
      <c r="M520" s="8">
        <v>2014</v>
      </c>
      <c r="N520" s="9">
        <v>0</v>
      </c>
      <c r="O520" s="9">
        <v>0</v>
      </c>
      <c r="P520" s="9">
        <v>0</v>
      </c>
      <c r="Q520" s="9">
        <v>0</v>
      </c>
      <c r="R520" s="13">
        <v>41815</v>
      </c>
      <c r="S520" s="13">
        <v>41815</v>
      </c>
    </row>
    <row r="521" spans="1:19">
      <c r="A521" s="10">
        <v>2014</v>
      </c>
      <c r="B521" s="11" t="s">
        <v>483</v>
      </c>
      <c r="C521" s="11" t="s">
        <v>484</v>
      </c>
      <c r="D521" s="12">
        <v>1015042</v>
      </c>
      <c r="E521" s="12">
        <v>2</v>
      </c>
      <c r="F521" s="12"/>
      <c r="G521" s="12">
        <v>860</v>
      </c>
      <c r="H521" s="12">
        <v>13.7</v>
      </c>
      <c r="I521" s="12"/>
      <c r="J521" s="12" t="s">
        <v>125</v>
      </c>
      <c r="K521" s="12" t="b">
        <v>1</v>
      </c>
      <c r="L521" s="12">
        <v>8</v>
      </c>
      <c r="M521" s="8">
        <v>2022</v>
      </c>
      <c r="N521" s="9">
        <v>0</v>
      </c>
      <c r="O521" s="9">
        <v>0</v>
      </c>
      <c r="P521" s="9">
        <v>0</v>
      </c>
      <c r="Q521" s="9">
        <v>0</v>
      </c>
      <c r="R521" s="13">
        <v>41815</v>
      </c>
      <c r="S521" s="13">
        <v>41815</v>
      </c>
    </row>
    <row r="522" spans="1:19">
      <c r="A522" s="10">
        <v>2014</v>
      </c>
      <c r="B522" s="11" t="s">
        <v>483</v>
      </c>
      <c r="C522" s="11" t="s">
        <v>484</v>
      </c>
      <c r="D522" s="12">
        <v>1015042</v>
      </c>
      <c r="E522" s="12">
        <v>2</v>
      </c>
      <c r="F522" s="12"/>
      <c r="G522" s="12">
        <v>860</v>
      </c>
      <c r="H522" s="12">
        <v>13.7</v>
      </c>
      <c r="I522" s="12"/>
      <c r="J522" s="12" t="s">
        <v>125</v>
      </c>
      <c r="K522" s="12" t="b">
        <v>1</v>
      </c>
      <c r="L522" s="12">
        <v>7</v>
      </c>
      <c r="M522" s="8">
        <v>2021</v>
      </c>
      <c r="N522" s="9">
        <v>0</v>
      </c>
      <c r="O522" s="9">
        <v>0</v>
      </c>
      <c r="P522" s="9">
        <v>0</v>
      </c>
      <c r="Q522" s="9">
        <v>0</v>
      </c>
      <c r="R522" s="13">
        <v>41815</v>
      </c>
      <c r="S522" s="13">
        <v>41815</v>
      </c>
    </row>
    <row r="523" spans="1:19">
      <c r="A523" s="10">
        <v>2014</v>
      </c>
      <c r="B523" s="11" t="s">
        <v>483</v>
      </c>
      <c r="C523" s="11" t="s">
        <v>484</v>
      </c>
      <c r="D523" s="12">
        <v>1015042</v>
      </c>
      <c r="E523" s="12">
        <v>2</v>
      </c>
      <c r="F523" s="12"/>
      <c r="G523" s="12">
        <v>860</v>
      </c>
      <c r="H523" s="12">
        <v>13.7</v>
      </c>
      <c r="I523" s="12"/>
      <c r="J523" s="12" t="s">
        <v>125</v>
      </c>
      <c r="K523" s="12" t="b">
        <v>1</v>
      </c>
      <c r="L523" s="12">
        <v>3</v>
      </c>
      <c r="M523" s="8">
        <v>2017</v>
      </c>
      <c r="N523" s="9">
        <v>0</v>
      </c>
      <c r="O523" s="9">
        <v>0</v>
      </c>
      <c r="P523" s="9">
        <v>0</v>
      </c>
      <c r="Q523" s="9">
        <v>0</v>
      </c>
      <c r="R523" s="13">
        <v>41815</v>
      </c>
      <c r="S523" s="13">
        <v>41815</v>
      </c>
    </row>
    <row r="524" spans="1:19">
      <c r="A524" s="10">
        <v>2014</v>
      </c>
      <c r="B524" s="11" t="s">
        <v>483</v>
      </c>
      <c r="C524" s="11" t="s">
        <v>484</v>
      </c>
      <c r="D524" s="12">
        <v>1015042</v>
      </c>
      <c r="E524" s="12">
        <v>2</v>
      </c>
      <c r="F524" s="12"/>
      <c r="G524" s="12">
        <v>860</v>
      </c>
      <c r="H524" s="12">
        <v>13.7</v>
      </c>
      <c r="I524" s="12"/>
      <c r="J524" s="12" t="s">
        <v>125</v>
      </c>
      <c r="K524" s="12" t="b">
        <v>1</v>
      </c>
      <c r="L524" s="12">
        <v>5</v>
      </c>
      <c r="M524" s="8">
        <v>2019</v>
      </c>
      <c r="N524" s="9">
        <v>0</v>
      </c>
      <c r="O524" s="9">
        <v>0</v>
      </c>
      <c r="P524" s="9">
        <v>0</v>
      </c>
      <c r="Q524" s="9">
        <v>0</v>
      </c>
      <c r="R524" s="13">
        <v>41815</v>
      </c>
      <c r="S524" s="13">
        <v>41815</v>
      </c>
    </row>
    <row r="525" spans="1:19">
      <c r="A525" s="10">
        <v>2014</v>
      </c>
      <c r="B525" s="11" t="s">
        <v>483</v>
      </c>
      <c r="C525" s="11" t="s">
        <v>484</v>
      </c>
      <c r="D525" s="12">
        <v>1015042</v>
      </c>
      <c r="E525" s="12">
        <v>2</v>
      </c>
      <c r="F525" s="12"/>
      <c r="G525" s="12">
        <v>860</v>
      </c>
      <c r="H525" s="12">
        <v>13.7</v>
      </c>
      <c r="I525" s="12"/>
      <c r="J525" s="12" t="s">
        <v>125</v>
      </c>
      <c r="K525" s="12" t="b">
        <v>1</v>
      </c>
      <c r="L525" s="12">
        <v>4</v>
      </c>
      <c r="M525" s="8">
        <v>2018</v>
      </c>
      <c r="N525" s="9">
        <v>0</v>
      </c>
      <c r="O525" s="9">
        <v>0</v>
      </c>
      <c r="P525" s="9">
        <v>0</v>
      </c>
      <c r="Q525" s="9">
        <v>0</v>
      </c>
      <c r="R525" s="13">
        <v>41815</v>
      </c>
      <c r="S525" s="13">
        <v>41815</v>
      </c>
    </row>
    <row r="526" spans="1:19">
      <c r="A526" s="10">
        <v>2014</v>
      </c>
      <c r="B526" s="11" t="s">
        <v>483</v>
      </c>
      <c r="C526" s="11" t="s">
        <v>484</v>
      </c>
      <c r="D526" s="12">
        <v>1015042</v>
      </c>
      <c r="E526" s="12">
        <v>2</v>
      </c>
      <c r="F526" s="12"/>
      <c r="G526" s="12">
        <v>860</v>
      </c>
      <c r="H526" s="12">
        <v>13.7</v>
      </c>
      <c r="I526" s="12"/>
      <c r="J526" s="12" t="s">
        <v>125</v>
      </c>
      <c r="K526" s="12" t="b">
        <v>1</v>
      </c>
      <c r="L526" s="12">
        <v>6</v>
      </c>
      <c r="M526" s="8">
        <v>2020</v>
      </c>
      <c r="N526" s="9">
        <v>0</v>
      </c>
      <c r="O526" s="9">
        <v>0</v>
      </c>
      <c r="P526" s="9">
        <v>0</v>
      </c>
      <c r="Q526" s="9">
        <v>0</v>
      </c>
      <c r="R526" s="13">
        <v>41815</v>
      </c>
      <c r="S526" s="13">
        <v>41815</v>
      </c>
    </row>
    <row r="527" spans="1:19">
      <c r="A527" s="10">
        <v>2014</v>
      </c>
      <c r="B527" s="11" t="s">
        <v>483</v>
      </c>
      <c r="C527" s="11" t="s">
        <v>484</v>
      </c>
      <c r="D527" s="12">
        <v>1015042</v>
      </c>
      <c r="E527" s="12">
        <v>2</v>
      </c>
      <c r="F527" s="12"/>
      <c r="G527" s="12">
        <v>570</v>
      </c>
      <c r="H527" s="12">
        <v>11</v>
      </c>
      <c r="I527" s="12"/>
      <c r="J527" s="12" t="s">
        <v>87</v>
      </c>
      <c r="K527" s="12" t="b">
        <v>0</v>
      </c>
      <c r="L527" s="12">
        <v>0</v>
      </c>
      <c r="M527" s="8">
        <v>2014</v>
      </c>
      <c r="N527" s="9">
        <v>0</v>
      </c>
      <c r="O527" s="9">
        <v>0</v>
      </c>
      <c r="P527" s="9">
        <v>0</v>
      </c>
      <c r="Q527" s="9">
        <v>0</v>
      </c>
      <c r="R527" s="13">
        <v>41815</v>
      </c>
      <c r="S527" s="13">
        <v>41815</v>
      </c>
    </row>
    <row r="528" spans="1:19">
      <c r="A528" s="10">
        <v>2014</v>
      </c>
      <c r="B528" s="11" t="s">
        <v>483</v>
      </c>
      <c r="C528" s="11" t="s">
        <v>484</v>
      </c>
      <c r="D528" s="12">
        <v>1015042</v>
      </c>
      <c r="E528" s="12">
        <v>2</v>
      </c>
      <c r="F528" s="12"/>
      <c r="G528" s="12">
        <v>570</v>
      </c>
      <c r="H528" s="12">
        <v>11</v>
      </c>
      <c r="I528" s="12"/>
      <c r="J528" s="12" t="s">
        <v>87</v>
      </c>
      <c r="K528" s="12" t="b">
        <v>0</v>
      </c>
      <c r="L528" s="12">
        <v>5</v>
      </c>
      <c r="M528" s="8">
        <v>2019</v>
      </c>
      <c r="N528" s="9">
        <v>0</v>
      </c>
      <c r="O528" s="9">
        <v>0</v>
      </c>
      <c r="P528" s="9">
        <v>0</v>
      </c>
      <c r="Q528" s="9">
        <v>0</v>
      </c>
      <c r="R528" s="13">
        <v>41815</v>
      </c>
      <c r="S528" s="13">
        <v>41815</v>
      </c>
    </row>
    <row r="529" spans="1:19">
      <c r="A529" s="10">
        <v>2014</v>
      </c>
      <c r="B529" s="11" t="s">
        <v>483</v>
      </c>
      <c r="C529" s="11" t="s">
        <v>484</v>
      </c>
      <c r="D529" s="12">
        <v>1015042</v>
      </c>
      <c r="E529" s="12">
        <v>2</v>
      </c>
      <c r="F529" s="12"/>
      <c r="G529" s="12">
        <v>570</v>
      </c>
      <c r="H529" s="12">
        <v>11</v>
      </c>
      <c r="I529" s="12"/>
      <c r="J529" s="12" t="s">
        <v>87</v>
      </c>
      <c r="K529" s="12" t="b">
        <v>0</v>
      </c>
      <c r="L529" s="12">
        <v>4</v>
      </c>
      <c r="M529" s="8">
        <v>2018</v>
      </c>
      <c r="N529" s="9">
        <v>0</v>
      </c>
      <c r="O529" s="9">
        <v>0</v>
      </c>
      <c r="P529" s="9">
        <v>0</v>
      </c>
      <c r="Q529" s="9">
        <v>0</v>
      </c>
      <c r="R529" s="13">
        <v>41815</v>
      </c>
      <c r="S529" s="13">
        <v>41815</v>
      </c>
    </row>
    <row r="530" spans="1:19">
      <c r="A530" s="10">
        <v>2014</v>
      </c>
      <c r="B530" s="11" t="s">
        <v>483</v>
      </c>
      <c r="C530" s="11" t="s">
        <v>484</v>
      </c>
      <c r="D530" s="12">
        <v>1015042</v>
      </c>
      <c r="E530" s="12">
        <v>2</v>
      </c>
      <c r="F530" s="12"/>
      <c r="G530" s="12">
        <v>570</v>
      </c>
      <c r="H530" s="12">
        <v>11</v>
      </c>
      <c r="I530" s="12"/>
      <c r="J530" s="12" t="s">
        <v>87</v>
      </c>
      <c r="K530" s="12" t="b">
        <v>0</v>
      </c>
      <c r="L530" s="12">
        <v>6</v>
      </c>
      <c r="M530" s="8">
        <v>2020</v>
      </c>
      <c r="N530" s="9">
        <v>0</v>
      </c>
      <c r="O530" s="9">
        <v>0</v>
      </c>
      <c r="P530" s="9">
        <v>0</v>
      </c>
      <c r="Q530" s="9">
        <v>0</v>
      </c>
      <c r="R530" s="13">
        <v>41815</v>
      </c>
      <c r="S530" s="13">
        <v>41815</v>
      </c>
    </row>
    <row r="531" spans="1:19">
      <c r="A531" s="10">
        <v>2014</v>
      </c>
      <c r="B531" s="11" t="s">
        <v>483</v>
      </c>
      <c r="C531" s="11" t="s">
        <v>484</v>
      </c>
      <c r="D531" s="12">
        <v>1015042</v>
      </c>
      <c r="E531" s="12">
        <v>2</v>
      </c>
      <c r="F531" s="12"/>
      <c r="G531" s="12">
        <v>570</v>
      </c>
      <c r="H531" s="12">
        <v>11</v>
      </c>
      <c r="I531" s="12"/>
      <c r="J531" s="12" t="s">
        <v>87</v>
      </c>
      <c r="K531" s="12" t="b">
        <v>0</v>
      </c>
      <c r="L531" s="12">
        <v>8</v>
      </c>
      <c r="M531" s="8">
        <v>2022</v>
      </c>
      <c r="N531" s="9">
        <v>0</v>
      </c>
      <c r="O531" s="9">
        <v>0</v>
      </c>
      <c r="P531" s="9">
        <v>0</v>
      </c>
      <c r="Q531" s="9">
        <v>0</v>
      </c>
      <c r="R531" s="13">
        <v>41815</v>
      </c>
      <c r="S531" s="13">
        <v>41815</v>
      </c>
    </row>
    <row r="532" spans="1:19">
      <c r="A532" s="10">
        <v>2014</v>
      </c>
      <c r="B532" s="11" t="s">
        <v>483</v>
      </c>
      <c r="C532" s="11" t="s">
        <v>484</v>
      </c>
      <c r="D532" s="12">
        <v>1015042</v>
      </c>
      <c r="E532" s="12">
        <v>2</v>
      </c>
      <c r="F532" s="12"/>
      <c r="G532" s="12">
        <v>570</v>
      </c>
      <c r="H532" s="12">
        <v>11</v>
      </c>
      <c r="I532" s="12"/>
      <c r="J532" s="12" t="s">
        <v>87</v>
      </c>
      <c r="K532" s="12" t="b">
        <v>0</v>
      </c>
      <c r="L532" s="12">
        <v>2</v>
      </c>
      <c r="M532" s="8">
        <v>2016</v>
      </c>
      <c r="N532" s="9">
        <v>0</v>
      </c>
      <c r="O532" s="9">
        <v>0</v>
      </c>
      <c r="P532" s="9">
        <v>0</v>
      </c>
      <c r="Q532" s="9">
        <v>0</v>
      </c>
      <c r="R532" s="13">
        <v>41815</v>
      </c>
      <c r="S532" s="13">
        <v>41815</v>
      </c>
    </row>
    <row r="533" spans="1:19">
      <c r="A533" s="10">
        <v>2014</v>
      </c>
      <c r="B533" s="11" t="s">
        <v>483</v>
      </c>
      <c r="C533" s="11" t="s">
        <v>484</v>
      </c>
      <c r="D533" s="12">
        <v>1015042</v>
      </c>
      <c r="E533" s="12">
        <v>2</v>
      </c>
      <c r="F533" s="12"/>
      <c r="G533" s="12">
        <v>570</v>
      </c>
      <c r="H533" s="12">
        <v>11</v>
      </c>
      <c r="I533" s="12"/>
      <c r="J533" s="12" t="s">
        <v>87</v>
      </c>
      <c r="K533" s="12" t="b">
        <v>0</v>
      </c>
      <c r="L533" s="12">
        <v>3</v>
      </c>
      <c r="M533" s="8">
        <v>2017</v>
      </c>
      <c r="N533" s="9">
        <v>0</v>
      </c>
      <c r="O533" s="9">
        <v>0</v>
      </c>
      <c r="P533" s="9">
        <v>0</v>
      </c>
      <c r="Q533" s="9">
        <v>0</v>
      </c>
      <c r="R533" s="13">
        <v>41815</v>
      </c>
      <c r="S533" s="13">
        <v>41815</v>
      </c>
    </row>
    <row r="534" spans="1:19">
      <c r="A534" s="10">
        <v>2014</v>
      </c>
      <c r="B534" s="11" t="s">
        <v>483</v>
      </c>
      <c r="C534" s="11" t="s">
        <v>484</v>
      </c>
      <c r="D534" s="12">
        <v>1015042</v>
      </c>
      <c r="E534" s="12">
        <v>2</v>
      </c>
      <c r="F534" s="12"/>
      <c r="G534" s="12">
        <v>570</v>
      </c>
      <c r="H534" s="12">
        <v>11</v>
      </c>
      <c r="I534" s="12"/>
      <c r="J534" s="12" t="s">
        <v>87</v>
      </c>
      <c r="K534" s="12" t="b">
        <v>0</v>
      </c>
      <c r="L534" s="12">
        <v>7</v>
      </c>
      <c r="M534" s="8">
        <v>2021</v>
      </c>
      <c r="N534" s="9">
        <v>0</v>
      </c>
      <c r="O534" s="9">
        <v>0</v>
      </c>
      <c r="P534" s="9">
        <v>0</v>
      </c>
      <c r="Q534" s="9">
        <v>0</v>
      </c>
      <c r="R534" s="13">
        <v>41815</v>
      </c>
      <c r="S534" s="13">
        <v>41815</v>
      </c>
    </row>
    <row r="535" spans="1:19">
      <c r="A535" s="10">
        <v>2014</v>
      </c>
      <c r="B535" s="11" t="s">
        <v>483</v>
      </c>
      <c r="C535" s="11" t="s">
        <v>484</v>
      </c>
      <c r="D535" s="12">
        <v>1015042</v>
      </c>
      <c r="E535" s="12">
        <v>2</v>
      </c>
      <c r="F535" s="12"/>
      <c r="G535" s="12">
        <v>570</v>
      </c>
      <c r="H535" s="12">
        <v>11</v>
      </c>
      <c r="I535" s="12"/>
      <c r="J535" s="12" t="s">
        <v>87</v>
      </c>
      <c r="K535" s="12" t="b">
        <v>0</v>
      </c>
      <c r="L535" s="12">
        <v>1</v>
      </c>
      <c r="M535" s="8">
        <v>2015</v>
      </c>
      <c r="N535" s="9">
        <v>0</v>
      </c>
      <c r="O535" s="9">
        <v>0</v>
      </c>
      <c r="P535" s="9">
        <v>0</v>
      </c>
      <c r="Q535" s="9">
        <v>0</v>
      </c>
      <c r="R535" s="13">
        <v>41815</v>
      </c>
      <c r="S535" s="13">
        <v>41815</v>
      </c>
    </row>
    <row r="536" spans="1:19">
      <c r="A536" s="10">
        <v>2014</v>
      </c>
      <c r="B536" s="11" t="s">
        <v>483</v>
      </c>
      <c r="C536" s="11" t="s">
        <v>484</v>
      </c>
      <c r="D536" s="12">
        <v>1015042</v>
      </c>
      <c r="E536" s="12">
        <v>2</v>
      </c>
      <c r="F536" s="12"/>
      <c r="G536" s="12">
        <v>320</v>
      </c>
      <c r="H536" s="12" t="s">
        <v>78</v>
      </c>
      <c r="I536" s="12" t="s">
        <v>369</v>
      </c>
      <c r="J536" s="12" t="s">
        <v>370</v>
      </c>
      <c r="K536" s="12" t="b">
        <v>1</v>
      </c>
      <c r="L536" s="12">
        <v>3</v>
      </c>
      <c r="M536" s="8">
        <v>2017</v>
      </c>
      <c r="N536" s="9">
        <v>911698</v>
      </c>
      <c r="O536" s="9">
        <v>304294</v>
      </c>
      <c r="P536" s="9">
        <v>0</v>
      </c>
      <c r="Q536" s="9">
        <v>0</v>
      </c>
      <c r="R536" s="13">
        <v>41815</v>
      </c>
      <c r="S536" s="13">
        <v>41815</v>
      </c>
    </row>
    <row r="537" spans="1:19">
      <c r="A537" s="10">
        <v>2014</v>
      </c>
      <c r="B537" s="11" t="s">
        <v>483</v>
      </c>
      <c r="C537" s="11" t="s">
        <v>484</v>
      </c>
      <c r="D537" s="12">
        <v>1015042</v>
      </c>
      <c r="E537" s="12">
        <v>2</v>
      </c>
      <c r="F537" s="12"/>
      <c r="G537" s="12">
        <v>320</v>
      </c>
      <c r="H537" s="12" t="s">
        <v>78</v>
      </c>
      <c r="I537" s="12" t="s">
        <v>369</v>
      </c>
      <c r="J537" s="12" t="s">
        <v>370</v>
      </c>
      <c r="K537" s="12" t="b">
        <v>1</v>
      </c>
      <c r="L537" s="12">
        <v>0</v>
      </c>
      <c r="M537" s="8">
        <v>2014</v>
      </c>
      <c r="N537" s="9">
        <v>911698</v>
      </c>
      <c r="O537" s="9">
        <v>304294</v>
      </c>
      <c r="P537" s="9">
        <v>0</v>
      </c>
      <c r="Q537" s="9">
        <v>0</v>
      </c>
      <c r="R537" s="13">
        <v>41815</v>
      </c>
      <c r="S537" s="13">
        <v>41815</v>
      </c>
    </row>
    <row r="538" spans="1:19">
      <c r="A538" s="10">
        <v>2014</v>
      </c>
      <c r="B538" s="11" t="s">
        <v>483</v>
      </c>
      <c r="C538" s="11" t="s">
        <v>484</v>
      </c>
      <c r="D538" s="12">
        <v>1015042</v>
      </c>
      <c r="E538" s="12">
        <v>2</v>
      </c>
      <c r="F538" s="12"/>
      <c r="G538" s="12">
        <v>120</v>
      </c>
      <c r="H538" s="12">
        <v>2</v>
      </c>
      <c r="I538" s="12" t="s">
        <v>485</v>
      </c>
      <c r="J538" s="12" t="s">
        <v>19</v>
      </c>
      <c r="K538" s="12" t="b">
        <v>0</v>
      </c>
      <c r="L538" s="12">
        <v>3</v>
      </c>
      <c r="M538" s="8">
        <v>2017</v>
      </c>
      <c r="N538" s="9">
        <v>10779094.59</v>
      </c>
      <c r="O538" s="9">
        <v>9050022.6400000006</v>
      </c>
      <c r="P538" s="9">
        <v>10587520.99</v>
      </c>
      <c r="Q538" s="9">
        <v>9708899.1999999993</v>
      </c>
      <c r="R538" s="13">
        <v>41815</v>
      </c>
      <c r="S538" s="13">
        <v>41815</v>
      </c>
    </row>
    <row r="539" spans="1:19">
      <c r="A539" s="10">
        <v>2014</v>
      </c>
      <c r="B539" s="11" t="s">
        <v>483</v>
      </c>
      <c r="C539" s="11" t="s">
        <v>484</v>
      </c>
      <c r="D539" s="12">
        <v>1015042</v>
      </c>
      <c r="E539" s="12">
        <v>2</v>
      </c>
      <c r="F539" s="12"/>
      <c r="G539" s="12">
        <v>320</v>
      </c>
      <c r="H539" s="12" t="s">
        <v>78</v>
      </c>
      <c r="I539" s="12" t="s">
        <v>369</v>
      </c>
      <c r="J539" s="12" t="s">
        <v>370</v>
      </c>
      <c r="K539" s="12" t="b">
        <v>1</v>
      </c>
      <c r="L539" s="12">
        <v>6</v>
      </c>
      <c r="M539" s="8">
        <v>2020</v>
      </c>
      <c r="N539" s="9">
        <v>911698</v>
      </c>
      <c r="O539" s="9">
        <v>304294</v>
      </c>
      <c r="P539" s="9">
        <v>0</v>
      </c>
      <c r="Q539" s="9">
        <v>0</v>
      </c>
      <c r="R539" s="13">
        <v>41815</v>
      </c>
      <c r="S539" s="13">
        <v>41815</v>
      </c>
    </row>
    <row r="540" spans="1:19">
      <c r="A540" s="10">
        <v>2014</v>
      </c>
      <c r="B540" s="11" t="s">
        <v>483</v>
      </c>
      <c r="C540" s="11" t="s">
        <v>484</v>
      </c>
      <c r="D540" s="12">
        <v>1015042</v>
      </c>
      <c r="E540" s="12">
        <v>2</v>
      </c>
      <c r="F540" s="12"/>
      <c r="G540" s="12">
        <v>320</v>
      </c>
      <c r="H540" s="12" t="s">
        <v>78</v>
      </c>
      <c r="I540" s="12" t="s">
        <v>369</v>
      </c>
      <c r="J540" s="12" t="s">
        <v>370</v>
      </c>
      <c r="K540" s="12" t="b">
        <v>1</v>
      </c>
      <c r="L540" s="12">
        <v>5</v>
      </c>
      <c r="M540" s="8">
        <v>2019</v>
      </c>
      <c r="N540" s="9">
        <v>911698</v>
      </c>
      <c r="O540" s="9">
        <v>304294</v>
      </c>
      <c r="P540" s="9">
        <v>0</v>
      </c>
      <c r="Q540" s="9">
        <v>0</v>
      </c>
      <c r="R540" s="13">
        <v>41815</v>
      </c>
      <c r="S540" s="13">
        <v>41815</v>
      </c>
    </row>
    <row r="541" spans="1:19">
      <c r="A541" s="10">
        <v>2014</v>
      </c>
      <c r="B541" s="11" t="s">
        <v>483</v>
      </c>
      <c r="C541" s="11" t="s">
        <v>484</v>
      </c>
      <c r="D541" s="12">
        <v>1015042</v>
      </c>
      <c r="E541" s="12">
        <v>2</v>
      </c>
      <c r="F541" s="12"/>
      <c r="G541" s="12">
        <v>320</v>
      </c>
      <c r="H541" s="12" t="s">
        <v>78</v>
      </c>
      <c r="I541" s="12" t="s">
        <v>369</v>
      </c>
      <c r="J541" s="12" t="s">
        <v>370</v>
      </c>
      <c r="K541" s="12" t="b">
        <v>1</v>
      </c>
      <c r="L541" s="12">
        <v>8</v>
      </c>
      <c r="M541" s="8">
        <v>2022</v>
      </c>
      <c r="N541" s="9">
        <v>911698</v>
      </c>
      <c r="O541" s="9">
        <v>304294</v>
      </c>
      <c r="P541" s="9">
        <v>0</v>
      </c>
      <c r="Q541" s="9">
        <v>0</v>
      </c>
      <c r="R541" s="13">
        <v>41815</v>
      </c>
      <c r="S541" s="13">
        <v>41815</v>
      </c>
    </row>
    <row r="542" spans="1:19">
      <c r="A542" s="10">
        <v>2014</v>
      </c>
      <c r="B542" s="11" t="s">
        <v>483</v>
      </c>
      <c r="C542" s="11" t="s">
        <v>484</v>
      </c>
      <c r="D542" s="12">
        <v>1015042</v>
      </c>
      <c r="E542" s="12">
        <v>2</v>
      </c>
      <c r="F542" s="12"/>
      <c r="G542" s="12">
        <v>320</v>
      </c>
      <c r="H542" s="12" t="s">
        <v>78</v>
      </c>
      <c r="I542" s="12" t="s">
        <v>369</v>
      </c>
      <c r="J542" s="12" t="s">
        <v>370</v>
      </c>
      <c r="K542" s="12" t="b">
        <v>1</v>
      </c>
      <c r="L542" s="12">
        <v>2</v>
      </c>
      <c r="M542" s="8">
        <v>2016</v>
      </c>
      <c r="N542" s="9">
        <v>911698</v>
      </c>
      <c r="O542" s="9">
        <v>304294</v>
      </c>
      <c r="P542" s="9">
        <v>0</v>
      </c>
      <c r="Q542" s="9">
        <v>0</v>
      </c>
      <c r="R542" s="13">
        <v>41815</v>
      </c>
      <c r="S542" s="13">
        <v>41815</v>
      </c>
    </row>
    <row r="543" spans="1:19">
      <c r="A543" s="10">
        <v>2014</v>
      </c>
      <c r="B543" s="11" t="s">
        <v>483</v>
      </c>
      <c r="C543" s="11" t="s">
        <v>484</v>
      </c>
      <c r="D543" s="12">
        <v>1015042</v>
      </c>
      <c r="E543" s="12">
        <v>2</v>
      </c>
      <c r="F543" s="12"/>
      <c r="G543" s="12">
        <v>320</v>
      </c>
      <c r="H543" s="12" t="s">
        <v>78</v>
      </c>
      <c r="I543" s="12" t="s">
        <v>369</v>
      </c>
      <c r="J543" s="12" t="s">
        <v>370</v>
      </c>
      <c r="K543" s="12" t="b">
        <v>1</v>
      </c>
      <c r="L543" s="12">
        <v>4</v>
      </c>
      <c r="M543" s="8">
        <v>2018</v>
      </c>
      <c r="N543" s="9">
        <v>911698</v>
      </c>
      <c r="O543" s="9">
        <v>304294</v>
      </c>
      <c r="P543" s="9">
        <v>0</v>
      </c>
      <c r="Q543" s="9">
        <v>0</v>
      </c>
      <c r="R543" s="13">
        <v>41815</v>
      </c>
      <c r="S543" s="13">
        <v>41815</v>
      </c>
    </row>
    <row r="544" spans="1:19">
      <c r="A544" s="10">
        <v>2014</v>
      </c>
      <c r="B544" s="11" t="s">
        <v>483</v>
      </c>
      <c r="C544" s="11" t="s">
        <v>484</v>
      </c>
      <c r="D544" s="12">
        <v>1015042</v>
      </c>
      <c r="E544" s="12">
        <v>2</v>
      </c>
      <c r="F544" s="12"/>
      <c r="G544" s="12">
        <v>320</v>
      </c>
      <c r="H544" s="12" t="s">
        <v>78</v>
      </c>
      <c r="I544" s="12" t="s">
        <v>369</v>
      </c>
      <c r="J544" s="12" t="s">
        <v>370</v>
      </c>
      <c r="K544" s="12" t="b">
        <v>1</v>
      </c>
      <c r="L544" s="12">
        <v>1</v>
      </c>
      <c r="M544" s="8">
        <v>2015</v>
      </c>
      <c r="N544" s="9">
        <v>911698</v>
      </c>
      <c r="O544" s="9">
        <v>304294</v>
      </c>
      <c r="P544" s="9">
        <v>0</v>
      </c>
      <c r="Q544" s="9">
        <v>0</v>
      </c>
      <c r="R544" s="13">
        <v>41815</v>
      </c>
      <c r="S544" s="13">
        <v>41815</v>
      </c>
    </row>
    <row r="545" spans="1:19">
      <c r="A545" s="10">
        <v>2014</v>
      </c>
      <c r="B545" s="11" t="s">
        <v>483</v>
      </c>
      <c r="C545" s="11" t="s">
        <v>484</v>
      </c>
      <c r="D545" s="12">
        <v>1015042</v>
      </c>
      <c r="E545" s="12">
        <v>2</v>
      </c>
      <c r="F545" s="12"/>
      <c r="G545" s="12">
        <v>320</v>
      </c>
      <c r="H545" s="12" t="s">
        <v>78</v>
      </c>
      <c r="I545" s="12" t="s">
        <v>369</v>
      </c>
      <c r="J545" s="12" t="s">
        <v>370</v>
      </c>
      <c r="K545" s="12" t="b">
        <v>1</v>
      </c>
      <c r="L545" s="12">
        <v>7</v>
      </c>
      <c r="M545" s="8">
        <v>2021</v>
      </c>
      <c r="N545" s="9">
        <v>911698</v>
      </c>
      <c r="O545" s="9">
        <v>304294</v>
      </c>
      <c r="P545" s="9">
        <v>0</v>
      </c>
      <c r="Q545" s="9">
        <v>0</v>
      </c>
      <c r="R545" s="13">
        <v>41815</v>
      </c>
      <c r="S545" s="13">
        <v>41815</v>
      </c>
    </row>
    <row r="546" spans="1:19">
      <c r="A546" s="10">
        <v>2014</v>
      </c>
      <c r="B546" s="11" t="s">
        <v>483</v>
      </c>
      <c r="C546" s="11" t="s">
        <v>484</v>
      </c>
      <c r="D546" s="12">
        <v>1015042</v>
      </c>
      <c r="E546" s="12">
        <v>2</v>
      </c>
      <c r="F546" s="12"/>
      <c r="G546" s="12">
        <v>410</v>
      </c>
      <c r="H546" s="12">
        <v>8</v>
      </c>
      <c r="I546" s="12"/>
      <c r="J546" s="12" t="s">
        <v>146</v>
      </c>
      <c r="K546" s="12" t="b">
        <v>1</v>
      </c>
      <c r="L546" s="12">
        <v>4</v>
      </c>
      <c r="M546" s="8">
        <v>2018</v>
      </c>
      <c r="N546" s="9">
        <v>0</v>
      </c>
      <c r="O546" s="9">
        <v>0</v>
      </c>
      <c r="P546" s="9">
        <v>0</v>
      </c>
      <c r="Q546" s="9">
        <v>0</v>
      </c>
      <c r="R546" s="13">
        <v>41815</v>
      </c>
      <c r="S546" s="13">
        <v>41815</v>
      </c>
    </row>
    <row r="547" spans="1:19">
      <c r="A547" s="10">
        <v>2014</v>
      </c>
      <c r="B547" s="11" t="s">
        <v>483</v>
      </c>
      <c r="C547" s="11" t="s">
        <v>484</v>
      </c>
      <c r="D547" s="12">
        <v>1015042</v>
      </c>
      <c r="E547" s="12">
        <v>2</v>
      </c>
      <c r="F547" s="12"/>
      <c r="G547" s="12">
        <v>410</v>
      </c>
      <c r="H547" s="12">
        <v>8</v>
      </c>
      <c r="I547" s="12"/>
      <c r="J547" s="12" t="s">
        <v>146</v>
      </c>
      <c r="K547" s="12" t="b">
        <v>1</v>
      </c>
      <c r="L547" s="12">
        <v>8</v>
      </c>
      <c r="M547" s="8">
        <v>2022</v>
      </c>
      <c r="N547" s="9">
        <v>0</v>
      </c>
      <c r="O547" s="9">
        <v>0</v>
      </c>
      <c r="P547" s="9">
        <v>0</v>
      </c>
      <c r="Q547" s="9">
        <v>0</v>
      </c>
      <c r="R547" s="13">
        <v>41815</v>
      </c>
      <c r="S547" s="13">
        <v>41815</v>
      </c>
    </row>
    <row r="548" spans="1:19">
      <c r="A548" s="10">
        <v>2014</v>
      </c>
      <c r="B548" s="11" t="s">
        <v>483</v>
      </c>
      <c r="C548" s="11" t="s">
        <v>484</v>
      </c>
      <c r="D548" s="12">
        <v>1015042</v>
      </c>
      <c r="E548" s="12">
        <v>2</v>
      </c>
      <c r="F548" s="12"/>
      <c r="G548" s="12">
        <v>410</v>
      </c>
      <c r="H548" s="12">
        <v>8</v>
      </c>
      <c r="I548" s="12"/>
      <c r="J548" s="12" t="s">
        <v>146</v>
      </c>
      <c r="K548" s="12" t="b">
        <v>1</v>
      </c>
      <c r="L548" s="12">
        <v>1</v>
      </c>
      <c r="M548" s="8">
        <v>2015</v>
      </c>
      <c r="N548" s="9">
        <v>0</v>
      </c>
      <c r="O548" s="9">
        <v>0</v>
      </c>
      <c r="P548" s="9">
        <v>0</v>
      </c>
      <c r="Q548" s="9">
        <v>0</v>
      </c>
      <c r="R548" s="13">
        <v>41815</v>
      </c>
      <c r="S548" s="13">
        <v>41815</v>
      </c>
    </row>
    <row r="549" spans="1:19">
      <c r="A549" s="10">
        <v>2014</v>
      </c>
      <c r="B549" s="11" t="s">
        <v>483</v>
      </c>
      <c r="C549" s="11" t="s">
        <v>484</v>
      </c>
      <c r="D549" s="12">
        <v>1015042</v>
      </c>
      <c r="E549" s="12">
        <v>2</v>
      </c>
      <c r="F549" s="12"/>
      <c r="G549" s="12">
        <v>410</v>
      </c>
      <c r="H549" s="12">
        <v>8</v>
      </c>
      <c r="I549" s="12"/>
      <c r="J549" s="12" t="s">
        <v>146</v>
      </c>
      <c r="K549" s="12" t="b">
        <v>1</v>
      </c>
      <c r="L549" s="12">
        <v>0</v>
      </c>
      <c r="M549" s="8">
        <v>2014</v>
      </c>
      <c r="N549" s="9">
        <v>0</v>
      </c>
      <c r="O549" s="9">
        <v>0</v>
      </c>
      <c r="P549" s="9">
        <v>0</v>
      </c>
      <c r="Q549" s="9">
        <v>0</v>
      </c>
      <c r="R549" s="13">
        <v>41815</v>
      </c>
      <c r="S549" s="13">
        <v>41815</v>
      </c>
    </row>
    <row r="550" spans="1:19">
      <c r="A550" s="10">
        <v>2014</v>
      </c>
      <c r="B550" s="11" t="s">
        <v>483</v>
      </c>
      <c r="C550" s="11" t="s">
        <v>484</v>
      </c>
      <c r="D550" s="12">
        <v>1015042</v>
      </c>
      <c r="E550" s="12">
        <v>2</v>
      </c>
      <c r="F550" s="12"/>
      <c r="G550" s="12">
        <v>410</v>
      </c>
      <c r="H550" s="12">
        <v>8</v>
      </c>
      <c r="I550" s="12"/>
      <c r="J550" s="12" t="s">
        <v>146</v>
      </c>
      <c r="K550" s="12" t="b">
        <v>1</v>
      </c>
      <c r="L550" s="12">
        <v>7</v>
      </c>
      <c r="M550" s="8">
        <v>2021</v>
      </c>
      <c r="N550" s="9">
        <v>0</v>
      </c>
      <c r="O550" s="9">
        <v>0</v>
      </c>
      <c r="P550" s="9">
        <v>0</v>
      </c>
      <c r="Q550" s="9">
        <v>0</v>
      </c>
      <c r="R550" s="13">
        <v>41815</v>
      </c>
      <c r="S550" s="13">
        <v>41815</v>
      </c>
    </row>
    <row r="551" spans="1:19">
      <c r="A551" s="10">
        <v>2014</v>
      </c>
      <c r="B551" s="11" t="s">
        <v>483</v>
      </c>
      <c r="C551" s="11" t="s">
        <v>484</v>
      </c>
      <c r="D551" s="12">
        <v>1015042</v>
      </c>
      <c r="E551" s="12">
        <v>2</v>
      </c>
      <c r="F551" s="12"/>
      <c r="G551" s="12">
        <v>410</v>
      </c>
      <c r="H551" s="12">
        <v>8</v>
      </c>
      <c r="I551" s="12"/>
      <c r="J551" s="12" t="s">
        <v>146</v>
      </c>
      <c r="K551" s="12" t="b">
        <v>1</v>
      </c>
      <c r="L551" s="12">
        <v>6</v>
      </c>
      <c r="M551" s="8">
        <v>2020</v>
      </c>
      <c r="N551" s="9">
        <v>0</v>
      </c>
      <c r="O551" s="9">
        <v>0</v>
      </c>
      <c r="P551" s="9">
        <v>0</v>
      </c>
      <c r="Q551" s="9">
        <v>0</v>
      </c>
      <c r="R551" s="13">
        <v>41815</v>
      </c>
      <c r="S551" s="13">
        <v>41815</v>
      </c>
    </row>
    <row r="552" spans="1:19">
      <c r="A552" s="10">
        <v>2014</v>
      </c>
      <c r="B552" s="11" t="s">
        <v>483</v>
      </c>
      <c r="C552" s="11" t="s">
        <v>484</v>
      </c>
      <c r="D552" s="12">
        <v>1015042</v>
      </c>
      <c r="E552" s="12">
        <v>2</v>
      </c>
      <c r="F552" s="12"/>
      <c r="G552" s="12">
        <v>410</v>
      </c>
      <c r="H552" s="12">
        <v>8</v>
      </c>
      <c r="I552" s="12"/>
      <c r="J552" s="12" t="s">
        <v>146</v>
      </c>
      <c r="K552" s="12" t="b">
        <v>1</v>
      </c>
      <c r="L552" s="12">
        <v>3</v>
      </c>
      <c r="M552" s="8">
        <v>2017</v>
      </c>
      <c r="N552" s="9">
        <v>0</v>
      </c>
      <c r="O552" s="9">
        <v>0</v>
      </c>
      <c r="P552" s="9">
        <v>0</v>
      </c>
      <c r="Q552" s="9">
        <v>0</v>
      </c>
      <c r="R552" s="13">
        <v>41815</v>
      </c>
      <c r="S552" s="13">
        <v>41815</v>
      </c>
    </row>
    <row r="553" spans="1:19">
      <c r="A553" s="10">
        <v>2014</v>
      </c>
      <c r="B553" s="11" t="s">
        <v>483</v>
      </c>
      <c r="C553" s="11" t="s">
        <v>484</v>
      </c>
      <c r="D553" s="12">
        <v>1015042</v>
      </c>
      <c r="E553" s="12">
        <v>2</v>
      </c>
      <c r="F553" s="12"/>
      <c r="G553" s="12">
        <v>410</v>
      </c>
      <c r="H553" s="12">
        <v>8</v>
      </c>
      <c r="I553" s="12"/>
      <c r="J553" s="12" t="s">
        <v>146</v>
      </c>
      <c r="K553" s="12" t="b">
        <v>1</v>
      </c>
      <c r="L553" s="12">
        <v>5</v>
      </c>
      <c r="M553" s="8">
        <v>2019</v>
      </c>
      <c r="N553" s="9">
        <v>0</v>
      </c>
      <c r="O553" s="9">
        <v>0</v>
      </c>
      <c r="P553" s="9">
        <v>0</v>
      </c>
      <c r="Q553" s="9">
        <v>0</v>
      </c>
      <c r="R553" s="13">
        <v>41815</v>
      </c>
      <c r="S553" s="13">
        <v>41815</v>
      </c>
    </row>
    <row r="554" spans="1:19">
      <c r="A554" s="10">
        <v>2014</v>
      </c>
      <c r="B554" s="11" t="s">
        <v>483</v>
      </c>
      <c r="C554" s="11" t="s">
        <v>484</v>
      </c>
      <c r="D554" s="12">
        <v>1015042</v>
      </c>
      <c r="E554" s="12">
        <v>2</v>
      </c>
      <c r="F554" s="12"/>
      <c r="G554" s="12">
        <v>410</v>
      </c>
      <c r="H554" s="12">
        <v>8</v>
      </c>
      <c r="I554" s="12"/>
      <c r="J554" s="12" t="s">
        <v>146</v>
      </c>
      <c r="K554" s="12" t="b">
        <v>1</v>
      </c>
      <c r="L554" s="12">
        <v>2</v>
      </c>
      <c r="M554" s="8">
        <v>2016</v>
      </c>
      <c r="N554" s="9">
        <v>0</v>
      </c>
      <c r="O554" s="9">
        <v>0</v>
      </c>
      <c r="P554" s="9">
        <v>0</v>
      </c>
      <c r="Q554" s="9">
        <v>0</v>
      </c>
      <c r="R554" s="13">
        <v>41815</v>
      </c>
      <c r="S554" s="13">
        <v>41815</v>
      </c>
    </row>
    <row r="555" spans="1:19">
      <c r="A555" s="10">
        <v>2014</v>
      </c>
      <c r="B555" s="11" t="s">
        <v>483</v>
      </c>
      <c r="C555" s="11" t="s">
        <v>484</v>
      </c>
      <c r="D555" s="12">
        <v>1015042</v>
      </c>
      <c r="E555" s="12">
        <v>2</v>
      </c>
      <c r="F555" s="12"/>
      <c r="G555" s="12">
        <v>880</v>
      </c>
      <c r="H555" s="12">
        <v>14.1</v>
      </c>
      <c r="I555" s="12"/>
      <c r="J555" s="12" t="s">
        <v>127</v>
      </c>
      <c r="K555" s="12" t="b">
        <v>1</v>
      </c>
      <c r="L555" s="12">
        <v>6</v>
      </c>
      <c r="M555" s="8">
        <v>2020</v>
      </c>
      <c r="N555" s="9">
        <v>1005325.64</v>
      </c>
      <c r="O555" s="9">
        <v>946446.93</v>
      </c>
      <c r="P555" s="9">
        <v>336951</v>
      </c>
      <c r="Q555" s="9">
        <v>336950.28</v>
      </c>
      <c r="R555" s="13">
        <v>41815</v>
      </c>
      <c r="S555" s="13">
        <v>41815</v>
      </c>
    </row>
    <row r="556" spans="1:19">
      <c r="A556" s="10">
        <v>2014</v>
      </c>
      <c r="B556" s="11" t="s">
        <v>483</v>
      </c>
      <c r="C556" s="11" t="s">
        <v>484</v>
      </c>
      <c r="D556" s="12">
        <v>1015042</v>
      </c>
      <c r="E556" s="12">
        <v>2</v>
      </c>
      <c r="F556" s="12"/>
      <c r="G556" s="12">
        <v>880</v>
      </c>
      <c r="H556" s="12">
        <v>14.1</v>
      </c>
      <c r="I556" s="12"/>
      <c r="J556" s="12" t="s">
        <v>127</v>
      </c>
      <c r="K556" s="12" t="b">
        <v>1</v>
      </c>
      <c r="L556" s="12">
        <v>2</v>
      </c>
      <c r="M556" s="8">
        <v>2016</v>
      </c>
      <c r="N556" s="9">
        <v>1005325.64</v>
      </c>
      <c r="O556" s="9">
        <v>946446.93</v>
      </c>
      <c r="P556" s="9">
        <v>336951</v>
      </c>
      <c r="Q556" s="9">
        <v>336950.28</v>
      </c>
      <c r="R556" s="13">
        <v>41815</v>
      </c>
      <c r="S556" s="13">
        <v>41815</v>
      </c>
    </row>
    <row r="557" spans="1:19">
      <c r="A557" s="10">
        <v>2014</v>
      </c>
      <c r="B557" s="11" t="s">
        <v>483</v>
      </c>
      <c r="C557" s="11" t="s">
        <v>484</v>
      </c>
      <c r="D557" s="12">
        <v>1015042</v>
      </c>
      <c r="E557" s="12">
        <v>2</v>
      </c>
      <c r="F557" s="12"/>
      <c r="G557" s="12">
        <v>880</v>
      </c>
      <c r="H557" s="12">
        <v>14.1</v>
      </c>
      <c r="I557" s="12"/>
      <c r="J557" s="12" t="s">
        <v>127</v>
      </c>
      <c r="K557" s="12" t="b">
        <v>1</v>
      </c>
      <c r="L557" s="12">
        <v>4</v>
      </c>
      <c r="M557" s="8">
        <v>2018</v>
      </c>
      <c r="N557" s="9">
        <v>1005325.64</v>
      </c>
      <c r="O557" s="9">
        <v>946446.93</v>
      </c>
      <c r="P557" s="9">
        <v>336951</v>
      </c>
      <c r="Q557" s="9">
        <v>336950.28</v>
      </c>
      <c r="R557" s="13">
        <v>41815</v>
      </c>
      <c r="S557" s="13">
        <v>41815</v>
      </c>
    </row>
    <row r="558" spans="1:19">
      <c r="A558" s="10">
        <v>2014</v>
      </c>
      <c r="B558" s="11" t="s">
        <v>483</v>
      </c>
      <c r="C558" s="11" t="s">
        <v>484</v>
      </c>
      <c r="D558" s="12">
        <v>1015042</v>
      </c>
      <c r="E558" s="12">
        <v>2</v>
      </c>
      <c r="F558" s="12"/>
      <c r="G558" s="12">
        <v>880</v>
      </c>
      <c r="H558" s="12">
        <v>14.1</v>
      </c>
      <c r="I558" s="12"/>
      <c r="J558" s="12" t="s">
        <v>127</v>
      </c>
      <c r="K558" s="12" t="b">
        <v>1</v>
      </c>
      <c r="L558" s="12">
        <v>0</v>
      </c>
      <c r="M558" s="8">
        <v>2014</v>
      </c>
      <c r="N558" s="9">
        <v>1005325.64</v>
      </c>
      <c r="O558" s="9">
        <v>946446.93</v>
      </c>
      <c r="P558" s="9">
        <v>336951</v>
      </c>
      <c r="Q558" s="9">
        <v>336950.28</v>
      </c>
      <c r="R558" s="13">
        <v>41815</v>
      </c>
      <c r="S558" s="13">
        <v>41815</v>
      </c>
    </row>
    <row r="559" spans="1:19">
      <c r="A559" s="10">
        <v>2014</v>
      </c>
      <c r="B559" s="11" t="s">
        <v>483</v>
      </c>
      <c r="C559" s="11" t="s">
        <v>484</v>
      </c>
      <c r="D559" s="12">
        <v>1015042</v>
      </c>
      <c r="E559" s="12">
        <v>2</v>
      </c>
      <c r="F559" s="12"/>
      <c r="G559" s="12">
        <v>880</v>
      </c>
      <c r="H559" s="12">
        <v>14.1</v>
      </c>
      <c r="I559" s="12"/>
      <c r="J559" s="12" t="s">
        <v>127</v>
      </c>
      <c r="K559" s="12" t="b">
        <v>1</v>
      </c>
      <c r="L559" s="12">
        <v>3</v>
      </c>
      <c r="M559" s="8">
        <v>2017</v>
      </c>
      <c r="N559" s="9">
        <v>1005325.64</v>
      </c>
      <c r="O559" s="9">
        <v>946446.93</v>
      </c>
      <c r="P559" s="9">
        <v>336951</v>
      </c>
      <c r="Q559" s="9">
        <v>336950.28</v>
      </c>
      <c r="R559" s="13">
        <v>41815</v>
      </c>
      <c r="S559" s="13">
        <v>41815</v>
      </c>
    </row>
    <row r="560" spans="1:19">
      <c r="A560" s="10">
        <v>2014</v>
      </c>
      <c r="B560" s="11" t="s">
        <v>483</v>
      </c>
      <c r="C560" s="11" t="s">
        <v>484</v>
      </c>
      <c r="D560" s="12">
        <v>1015042</v>
      </c>
      <c r="E560" s="12">
        <v>2</v>
      </c>
      <c r="F560" s="12"/>
      <c r="G560" s="12">
        <v>880</v>
      </c>
      <c r="H560" s="12">
        <v>14.1</v>
      </c>
      <c r="I560" s="12"/>
      <c r="J560" s="12" t="s">
        <v>127</v>
      </c>
      <c r="K560" s="12" t="b">
        <v>1</v>
      </c>
      <c r="L560" s="12">
        <v>5</v>
      </c>
      <c r="M560" s="8">
        <v>2019</v>
      </c>
      <c r="N560" s="9">
        <v>1005325.64</v>
      </c>
      <c r="O560" s="9">
        <v>946446.93</v>
      </c>
      <c r="P560" s="9">
        <v>336951</v>
      </c>
      <c r="Q560" s="9">
        <v>336950.28</v>
      </c>
      <c r="R560" s="13">
        <v>41815</v>
      </c>
      <c r="S560" s="13">
        <v>41815</v>
      </c>
    </row>
    <row r="561" spans="1:19">
      <c r="A561" s="10">
        <v>2014</v>
      </c>
      <c r="B561" s="11" t="s">
        <v>483</v>
      </c>
      <c r="C561" s="11" t="s">
        <v>484</v>
      </c>
      <c r="D561" s="12">
        <v>1015042</v>
      </c>
      <c r="E561" s="12">
        <v>2</v>
      </c>
      <c r="F561" s="12"/>
      <c r="G561" s="12">
        <v>880</v>
      </c>
      <c r="H561" s="12">
        <v>14.1</v>
      </c>
      <c r="I561" s="12"/>
      <c r="J561" s="12" t="s">
        <v>127</v>
      </c>
      <c r="K561" s="12" t="b">
        <v>1</v>
      </c>
      <c r="L561" s="12">
        <v>7</v>
      </c>
      <c r="M561" s="8">
        <v>2021</v>
      </c>
      <c r="N561" s="9">
        <v>1005325.64</v>
      </c>
      <c r="O561" s="9">
        <v>946446.93</v>
      </c>
      <c r="P561" s="9">
        <v>336951</v>
      </c>
      <c r="Q561" s="9">
        <v>336950.28</v>
      </c>
      <c r="R561" s="13">
        <v>41815</v>
      </c>
      <c r="S561" s="13">
        <v>41815</v>
      </c>
    </row>
    <row r="562" spans="1:19">
      <c r="A562" s="10">
        <v>2014</v>
      </c>
      <c r="B562" s="11" t="s">
        <v>483</v>
      </c>
      <c r="C562" s="11" t="s">
        <v>484</v>
      </c>
      <c r="D562" s="12">
        <v>1015042</v>
      </c>
      <c r="E562" s="12">
        <v>2</v>
      </c>
      <c r="F562" s="12"/>
      <c r="G562" s="12">
        <v>880</v>
      </c>
      <c r="H562" s="12">
        <v>14.1</v>
      </c>
      <c r="I562" s="12"/>
      <c r="J562" s="12" t="s">
        <v>127</v>
      </c>
      <c r="K562" s="12" t="b">
        <v>1</v>
      </c>
      <c r="L562" s="12">
        <v>8</v>
      </c>
      <c r="M562" s="8">
        <v>2022</v>
      </c>
      <c r="N562" s="9">
        <v>1005325.64</v>
      </c>
      <c r="O562" s="9">
        <v>946446.93</v>
      </c>
      <c r="P562" s="9">
        <v>336951</v>
      </c>
      <c r="Q562" s="9">
        <v>336950.28</v>
      </c>
      <c r="R562" s="13">
        <v>41815</v>
      </c>
      <c r="S562" s="13">
        <v>41815</v>
      </c>
    </row>
    <row r="563" spans="1:19">
      <c r="A563" s="10">
        <v>2014</v>
      </c>
      <c r="B563" s="11" t="s">
        <v>483</v>
      </c>
      <c r="C563" s="11" t="s">
        <v>484</v>
      </c>
      <c r="D563" s="12">
        <v>1015042</v>
      </c>
      <c r="E563" s="12">
        <v>2</v>
      </c>
      <c r="F563" s="12"/>
      <c r="G563" s="12">
        <v>880</v>
      </c>
      <c r="H563" s="12">
        <v>14.1</v>
      </c>
      <c r="I563" s="12"/>
      <c r="J563" s="12" t="s">
        <v>127</v>
      </c>
      <c r="K563" s="12" t="b">
        <v>1</v>
      </c>
      <c r="L563" s="12">
        <v>1</v>
      </c>
      <c r="M563" s="8">
        <v>2015</v>
      </c>
      <c r="N563" s="9">
        <v>1005325.64</v>
      </c>
      <c r="O563" s="9">
        <v>946446.93</v>
      </c>
      <c r="P563" s="9">
        <v>336951</v>
      </c>
      <c r="Q563" s="9">
        <v>336950.28</v>
      </c>
      <c r="R563" s="13">
        <v>41815</v>
      </c>
      <c r="S563" s="13">
        <v>41815</v>
      </c>
    </row>
    <row r="564" spans="1:19">
      <c r="A564" s="10">
        <v>2014</v>
      </c>
      <c r="B564" s="11" t="s">
        <v>483</v>
      </c>
      <c r="C564" s="11" t="s">
        <v>484</v>
      </c>
      <c r="D564" s="12">
        <v>1015042</v>
      </c>
      <c r="E564" s="12">
        <v>2</v>
      </c>
      <c r="F564" s="12"/>
      <c r="G564" s="12">
        <v>340</v>
      </c>
      <c r="H564" s="12">
        <v>5.2</v>
      </c>
      <c r="I564" s="12"/>
      <c r="J564" s="12" t="s">
        <v>80</v>
      </c>
      <c r="K564" s="12" t="b">
        <v>0</v>
      </c>
      <c r="L564" s="12">
        <v>0</v>
      </c>
      <c r="M564" s="8">
        <v>2014</v>
      </c>
      <c r="N564" s="9">
        <v>0</v>
      </c>
      <c r="O564" s="9">
        <v>0</v>
      </c>
      <c r="P564" s="9">
        <v>0</v>
      </c>
      <c r="Q564" s="9">
        <v>0</v>
      </c>
      <c r="R564" s="13">
        <v>41815</v>
      </c>
      <c r="S564" s="13">
        <v>41815</v>
      </c>
    </row>
    <row r="565" spans="1:19">
      <c r="A565" s="10">
        <v>2014</v>
      </c>
      <c r="B565" s="11" t="s">
        <v>483</v>
      </c>
      <c r="C565" s="11" t="s">
        <v>484</v>
      </c>
      <c r="D565" s="12">
        <v>1015042</v>
      </c>
      <c r="E565" s="12">
        <v>2</v>
      </c>
      <c r="F565" s="12"/>
      <c r="G565" s="12">
        <v>340</v>
      </c>
      <c r="H565" s="12">
        <v>5.2</v>
      </c>
      <c r="I565" s="12"/>
      <c r="J565" s="12" t="s">
        <v>80</v>
      </c>
      <c r="K565" s="12" t="b">
        <v>0</v>
      </c>
      <c r="L565" s="12">
        <v>6</v>
      </c>
      <c r="M565" s="8">
        <v>2020</v>
      </c>
      <c r="N565" s="9">
        <v>0</v>
      </c>
      <c r="O565" s="9">
        <v>0</v>
      </c>
      <c r="P565" s="9">
        <v>0</v>
      </c>
      <c r="Q565" s="9">
        <v>0</v>
      </c>
      <c r="R565" s="13">
        <v>41815</v>
      </c>
      <c r="S565" s="13">
        <v>41815</v>
      </c>
    </row>
    <row r="566" spans="1:19">
      <c r="A566" s="10">
        <v>2014</v>
      </c>
      <c r="B566" s="11" t="s">
        <v>483</v>
      </c>
      <c r="C566" s="11" t="s">
        <v>484</v>
      </c>
      <c r="D566" s="12">
        <v>1015042</v>
      </c>
      <c r="E566" s="12">
        <v>2</v>
      </c>
      <c r="F566" s="12"/>
      <c r="G566" s="12">
        <v>340</v>
      </c>
      <c r="H566" s="12">
        <v>5.2</v>
      </c>
      <c r="I566" s="12"/>
      <c r="J566" s="12" t="s">
        <v>80</v>
      </c>
      <c r="K566" s="12" t="b">
        <v>0</v>
      </c>
      <c r="L566" s="12">
        <v>5</v>
      </c>
      <c r="M566" s="8">
        <v>2019</v>
      </c>
      <c r="N566" s="9">
        <v>0</v>
      </c>
      <c r="O566" s="9">
        <v>0</v>
      </c>
      <c r="P566" s="9">
        <v>0</v>
      </c>
      <c r="Q566" s="9">
        <v>0</v>
      </c>
      <c r="R566" s="13">
        <v>41815</v>
      </c>
      <c r="S566" s="13">
        <v>41815</v>
      </c>
    </row>
    <row r="567" spans="1:19">
      <c r="A567" s="10">
        <v>2014</v>
      </c>
      <c r="B567" s="11" t="s">
        <v>483</v>
      </c>
      <c r="C567" s="11" t="s">
        <v>484</v>
      </c>
      <c r="D567" s="12">
        <v>1015042</v>
      </c>
      <c r="E567" s="12">
        <v>2</v>
      </c>
      <c r="F567" s="12"/>
      <c r="G567" s="12">
        <v>340</v>
      </c>
      <c r="H567" s="12">
        <v>5.2</v>
      </c>
      <c r="I567" s="12"/>
      <c r="J567" s="12" t="s">
        <v>80</v>
      </c>
      <c r="K567" s="12" t="b">
        <v>0</v>
      </c>
      <c r="L567" s="12">
        <v>3</v>
      </c>
      <c r="M567" s="8">
        <v>2017</v>
      </c>
      <c r="N567" s="9">
        <v>0</v>
      </c>
      <c r="O567" s="9">
        <v>0</v>
      </c>
      <c r="P567" s="9">
        <v>0</v>
      </c>
      <c r="Q567" s="9">
        <v>0</v>
      </c>
      <c r="R567" s="13">
        <v>41815</v>
      </c>
      <c r="S567" s="13">
        <v>41815</v>
      </c>
    </row>
    <row r="568" spans="1:19">
      <c r="A568" s="10">
        <v>2014</v>
      </c>
      <c r="B568" s="11" t="s">
        <v>483</v>
      </c>
      <c r="C568" s="11" t="s">
        <v>484</v>
      </c>
      <c r="D568" s="12">
        <v>1015042</v>
      </c>
      <c r="E568" s="12">
        <v>2</v>
      </c>
      <c r="F568" s="12"/>
      <c r="G568" s="12">
        <v>340</v>
      </c>
      <c r="H568" s="12">
        <v>5.2</v>
      </c>
      <c r="I568" s="12"/>
      <c r="J568" s="12" t="s">
        <v>80</v>
      </c>
      <c r="K568" s="12" t="b">
        <v>0</v>
      </c>
      <c r="L568" s="12">
        <v>2</v>
      </c>
      <c r="M568" s="8">
        <v>2016</v>
      </c>
      <c r="N568" s="9">
        <v>0</v>
      </c>
      <c r="O568" s="9">
        <v>0</v>
      </c>
      <c r="P568" s="9">
        <v>0</v>
      </c>
      <c r="Q568" s="9">
        <v>0</v>
      </c>
      <c r="R568" s="13">
        <v>41815</v>
      </c>
      <c r="S568" s="13">
        <v>41815</v>
      </c>
    </row>
    <row r="569" spans="1:19">
      <c r="A569" s="10">
        <v>2014</v>
      </c>
      <c r="B569" s="11" t="s">
        <v>483</v>
      </c>
      <c r="C569" s="11" t="s">
        <v>484</v>
      </c>
      <c r="D569" s="12">
        <v>1015042</v>
      </c>
      <c r="E569" s="12">
        <v>2</v>
      </c>
      <c r="F569" s="12"/>
      <c r="G569" s="12">
        <v>340</v>
      </c>
      <c r="H569" s="12">
        <v>5.2</v>
      </c>
      <c r="I569" s="12"/>
      <c r="J569" s="12" t="s">
        <v>80</v>
      </c>
      <c r="K569" s="12" t="b">
        <v>0</v>
      </c>
      <c r="L569" s="12">
        <v>4</v>
      </c>
      <c r="M569" s="8">
        <v>2018</v>
      </c>
      <c r="N569" s="9">
        <v>0</v>
      </c>
      <c r="O569" s="9">
        <v>0</v>
      </c>
      <c r="P569" s="9">
        <v>0</v>
      </c>
      <c r="Q569" s="9">
        <v>0</v>
      </c>
      <c r="R569" s="13">
        <v>41815</v>
      </c>
      <c r="S569" s="13">
        <v>41815</v>
      </c>
    </row>
    <row r="570" spans="1:19">
      <c r="A570" s="10">
        <v>2014</v>
      </c>
      <c r="B570" s="11" t="s">
        <v>483</v>
      </c>
      <c r="C570" s="11" t="s">
        <v>484</v>
      </c>
      <c r="D570" s="12">
        <v>1015042</v>
      </c>
      <c r="E570" s="12">
        <v>2</v>
      </c>
      <c r="F570" s="12"/>
      <c r="G570" s="12">
        <v>340</v>
      </c>
      <c r="H570" s="12">
        <v>5.2</v>
      </c>
      <c r="I570" s="12"/>
      <c r="J570" s="12" t="s">
        <v>80</v>
      </c>
      <c r="K570" s="12" t="b">
        <v>0</v>
      </c>
      <c r="L570" s="12">
        <v>7</v>
      </c>
      <c r="M570" s="8">
        <v>2021</v>
      </c>
      <c r="N570" s="9">
        <v>0</v>
      </c>
      <c r="O570" s="9">
        <v>0</v>
      </c>
      <c r="P570" s="9">
        <v>0</v>
      </c>
      <c r="Q570" s="9">
        <v>0</v>
      </c>
      <c r="R570" s="13">
        <v>41815</v>
      </c>
      <c r="S570" s="13">
        <v>41815</v>
      </c>
    </row>
    <row r="571" spans="1:19">
      <c r="A571" s="10">
        <v>2014</v>
      </c>
      <c r="B571" s="11" t="s">
        <v>483</v>
      </c>
      <c r="C571" s="11" t="s">
        <v>484</v>
      </c>
      <c r="D571" s="12">
        <v>1015042</v>
      </c>
      <c r="E571" s="12">
        <v>2</v>
      </c>
      <c r="F571" s="12"/>
      <c r="G571" s="12">
        <v>340</v>
      </c>
      <c r="H571" s="12">
        <v>5.2</v>
      </c>
      <c r="I571" s="12"/>
      <c r="J571" s="12" t="s">
        <v>80</v>
      </c>
      <c r="K571" s="12" t="b">
        <v>0</v>
      </c>
      <c r="L571" s="12">
        <v>8</v>
      </c>
      <c r="M571" s="8">
        <v>2022</v>
      </c>
      <c r="N571" s="9">
        <v>0</v>
      </c>
      <c r="O571" s="9">
        <v>0</v>
      </c>
      <c r="P571" s="9">
        <v>0</v>
      </c>
      <c r="Q571" s="9">
        <v>0</v>
      </c>
      <c r="R571" s="13">
        <v>41815</v>
      </c>
      <c r="S571" s="13">
        <v>41815</v>
      </c>
    </row>
    <row r="572" spans="1:19">
      <c r="A572" s="10">
        <v>2014</v>
      </c>
      <c r="B572" s="11" t="s">
        <v>483</v>
      </c>
      <c r="C572" s="11" t="s">
        <v>484</v>
      </c>
      <c r="D572" s="12">
        <v>1015042</v>
      </c>
      <c r="E572" s="12">
        <v>2</v>
      </c>
      <c r="F572" s="12"/>
      <c r="G572" s="12">
        <v>340</v>
      </c>
      <c r="H572" s="12">
        <v>5.2</v>
      </c>
      <c r="I572" s="12"/>
      <c r="J572" s="12" t="s">
        <v>80</v>
      </c>
      <c r="K572" s="12" t="b">
        <v>0</v>
      </c>
      <c r="L572" s="12">
        <v>1</v>
      </c>
      <c r="M572" s="8">
        <v>2015</v>
      </c>
      <c r="N572" s="9">
        <v>0</v>
      </c>
      <c r="O572" s="9">
        <v>0</v>
      </c>
      <c r="P572" s="9">
        <v>0</v>
      </c>
      <c r="Q572" s="9">
        <v>0</v>
      </c>
      <c r="R572" s="13">
        <v>41815</v>
      </c>
      <c r="S572" s="13">
        <v>41815</v>
      </c>
    </row>
    <row r="573" spans="1:19">
      <c r="A573" s="10">
        <v>2014</v>
      </c>
      <c r="B573" s="11" t="s">
        <v>483</v>
      </c>
      <c r="C573" s="11" t="s">
        <v>484</v>
      </c>
      <c r="D573" s="12">
        <v>1015042</v>
      </c>
      <c r="E573" s="12">
        <v>2</v>
      </c>
      <c r="F573" s="12"/>
      <c r="G573" s="12">
        <v>790</v>
      </c>
      <c r="H573" s="12">
        <v>13</v>
      </c>
      <c r="I573" s="12"/>
      <c r="J573" s="12" t="s">
        <v>118</v>
      </c>
      <c r="K573" s="12" t="b">
        <v>1</v>
      </c>
      <c r="L573" s="12">
        <v>8</v>
      </c>
      <c r="M573" s="8">
        <v>2022</v>
      </c>
      <c r="N573" s="9">
        <v>0</v>
      </c>
      <c r="O573" s="9">
        <v>0</v>
      </c>
      <c r="P573" s="9">
        <v>0</v>
      </c>
      <c r="Q573" s="9">
        <v>0</v>
      </c>
      <c r="R573" s="13">
        <v>41815</v>
      </c>
      <c r="S573" s="13">
        <v>41815</v>
      </c>
    </row>
    <row r="574" spans="1:19">
      <c r="A574" s="10">
        <v>2014</v>
      </c>
      <c r="B574" s="11" t="s">
        <v>483</v>
      </c>
      <c r="C574" s="11" t="s">
        <v>484</v>
      </c>
      <c r="D574" s="12">
        <v>1015042</v>
      </c>
      <c r="E574" s="12">
        <v>2</v>
      </c>
      <c r="F574" s="12"/>
      <c r="G574" s="12">
        <v>790</v>
      </c>
      <c r="H574" s="12">
        <v>13</v>
      </c>
      <c r="I574" s="12"/>
      <c r="J574" s="12" t="s">
        <v>118</v>
      </c>
      <c r="K574" s="12" t="b">
        <v>1</v>
      </c>
      <c r="L574" s="12">
        <v>0</v>
      </c>
      <c r="M574" s="8">
        <v>2014</v>
      </c>
      <c r="N574" s="9">
        <v>0</v>
      </c>
      <c r="O574" s="9">
        <v>0</v>
      </c>
      <c r="P574" s="9">
        <v>0</v>
      </c>
      <c r="Q574" s="9">
        <v>0</v>
      </c>
      <c r="R574" s="13">
        <v>41815</v>
      </c>
      <c r="S574" s="13">
        <v>41815</v>
      </c>
    </row>
    <row r="575" spans="1:19">
      <c r="A575" s="10">
        <v>2014</v>
      </c>
      <c r="B575" s="11" t="s">
        <v>483</v>
      </c>
      <c r="C575" s="11" t="s">
        <v>484</v>
      </c>
      <c r="D575" s="12">
        <v>1015042</v>
      </c>
      <c r="E575" s="12">
        <v>2</v>
      </c>
      <c r="F575" s="12"/>
      <c r="G575" s="12">
        <v>790</v>
      </c>
      <c r="H575" s="12">
        <v>13</v>
      </c>
      <c r="I575" s="12"/>
      <c r="J575" s="12" t="s">
        <v>118</v>
      </c>
      <c r="K575" s="12" t="b">
        <v>1</v>
      </c>
      <c r="L575" s="12">
        <v>6</v>
      </c>
      <c r="M575" s="8">
        <v>2020</v>
      </c>
      <c r="N575" s="9">
        <v>0</v>
      </c>
      <c r="O575" s="9">
        <v>0</v>
      </c>
      <c r="P575" s="9">
        <v>0</v>
      </c>
      <c r="Q575" s="9">
        <v>0</v>
      </c>
      <c r="R575" s="13">
        <v>41815</v>
      </c>
      <c r="S575" s="13">
        <v>41815</v>
      </c>
    </row>
    <row r="576" spans="1:19">
      <c r="A576" s="10">
        <v>2014</v>
      </c>
      <c r="B576" s="11" t="s">
        <v>483</v>
      </c>
      <c r="C576" s="11" t="s">
        <v>484</v>
      </c>
      <c r="D576" s="12">
        <v>1015042</v>
      </c>
      <c r="E576" s="12">
        <v>2</v>
      </c>
      <c r="F576" s="12"/>
      <c r="G576" s="12">
        <v>790</v>
      </c>
      <c r="H576" s="12">
        <v>13</v>
      </c>
      <c r="I576" s="12"/>
      <c r="J576" s="12" t="s">
        <v>118</v>
      </c>
      <c r="K576" s="12" t="b">
        <v>1</v>
      </c>
      <c r="L576" s="12">
        <v>1</v>
      </c>
      <c r="M576" s="8">
        <v>2015</v>
      </c>
      <c r="N576" s="9">
        <v>0</v>
      </c>
      <c r="O576" s="9">
        <v>0</v>
      </c>
      <c r="P576" s="9">
        <v>0</v>
      </c>
      <c r="Q576" s="9">
        <v>0</v>
      </c>
      <c r="R576" s="13">
        <v>41815</v>
      </c>
      <c r="S576" s="13">
        <v>41815</v>
      </c>
    </row>
    <row r="577" spans="1:19">
      <c r="A577" s="10">
        <v>2014</v>
      </c>
      <c r="B577" s="11" t="s">
        <v>483</v>
      </c>
      <c r="C577" s="11" t="s">
        <v>484</v>
      </c>
      <c r="D577" s="12">
        <v>1015042</v>
      </c>
      <c r="E577" s="12">
        <v>2</v>
      </c>
      <c r="F577" s="12"/>
      <c r="G577" s="12">
        <v>790</v>
      </c>
      <c r="H577" s="12">
        <v>13</v>
      </c>
      <c r="I577" s="12"/>
      <c r="J577" s="12" t="s">
        <v>118</v>
      </c>
      <c r="K577" s="12" t="b">
        <v>1</v>
      </c>
      <c r="L577" s="12">
        <v>4</v>
      </c>
      <c r="M577" s="8">
        <v>2018</v>
      </c>
      <c r="N577" s="9">
        <v>0</v>
      </c>
      <c r="O577" s="9">
        <v>0</v>
      </c>
      <c r="P577" s="9">
        <v>0</v>
      </c>
      <c r="Q577" s="9">
        <v>0</v>
      </c>
      <c r="R577" s="13">
        <v>41815</v>
      </c>
      <c r="S577" s="13">
        <v>41815</v>
      </c>
    </row>
    <row r="578" spans="1:19">
      <c r="A578" s="10">
        <v>2014</v>
      </c>
      <c r="B578" s="11" t="s">
        <v>483</v>
      </c>
      <c r="C578" s="11" t="s">
        <v>484</v>
      </c>
      <c r="D578" s="12">
        <v>1015042</v>
      </c>
      <c r="E578" s="12">
        <v>2</v>
      </c>
      <c r="F578" s="12"/>
      <c r="G578" s="12">
        <v>790</v>
      </c>
      <c r="H578" s="12">
        <v>13</v>
      </c>
      <c r="I578" s="12"/>
      <c r="J578" s="12" t="s">
        <v>118</v>
      </c>
      <c r="K578" s="12" t="b">
        <v>1</v>
      </c>
      <c r="L578" s="12">
        <v>5</v>
      </c>
      <c r="M578" s="8">
        <v>2019</v>
      </c>
      <c r="N578" s="9">
        <v>0</v>
      </c>
      <c r="O578" s="9">
        <v>0</v>
      </c>
      <c r="P578" s="9">
        <v>0</v>
      </c>
      <c r="Q578" s="9">
        <v>0</v>
      </c>
      <c r="R578" s="13">
        <v>41815</v>
      </c>
      <c r="S578" s="13">
        <v>41815</v>
      </c>
    </row>
    <row r="579" spans="1:19">
      <c r="A579" s="10">
        <v>2014</v>
      </c>
      <c r="B579" s="11" t="s">
        <v>483</v>
      </c>
      <c r="C579" s="11" t="s">
        <v>484</v>
      </c>
      <c r="D579" s="12">
        <v>1015042</v>
      </c>
      <c r="E579" s="12">
        <v>2</v>
      </c>
      <c r="F579" s="12"/>
      <c r="G579" s="12">
        <v>790</v>
      </c>
      <c r="H579" s="12">
        <v>13</v>
      </c>
      <c r="I579" s="12"/>
      <c r="J579" s="12" t="s">
        <v>118</v>
      </c>
      <c r="K579" s="12" t="b">
        <v>1</v>
      </c>
      <c r="L579" s="12">
        <v>3</v>
      </c>
      <c r="M579" s="8">
        <v>2017</v>
      </c>
      <c r="N579" s="9">
        <v>0</v>
      </c>
      <c r="O579" s="9">
        <v>0</v>
      </c>
      <c r="P579" s="9">
        <v>0</v>
      </c>
      <c r="Q579" s="9">
        <v>0</v>
      </c>
      <c r="R579" s="13">
        <v>41815</v>
      </c>
      <c r="S579" s="13">
        <v>41815</v>
      </c>
    </row>
    <row r="580" spans="1:19">
      <c r="A580" s="10">
        <v>2014</v>
      </c>
      <c r="B580" s="11" t="s">
        <v>483</v>
      </c>
      <c r="C580" s="11" t="s">
        <v>484</v>
      </c>
      <c r="D580" s="12">
        <v>1015042</v>
      </c>
      <c r="E580" s="12">
        <v>2</v>
      </c>
      <c r="F580" s="12"/>
      <c r="G580" s="12">
        <v>790</v>
      </c>
      <c r="H580" s="12">
        <v>13</v>
      </c>
      <c r="I580" s="12"/>
      <c r="J580" s="12" t="s">
        <v>118</v>
      </c>
      <c r="K580" s="12" t="b">
        <v>1</v>
      </c>
      <c r="L580" s="12">
        <v>2</v>
      </c>
      <c r="M580" s="8">
        <v>2016</v>
      </c>
      <c r="N580" s="9">
        <v>0</v>
      </c>
      <c r="O580" s="9">
        <v>0</v>
      </c>
      <c r="P580" s="9">
        <v>0</v>
      </c>
      <c r="Q580" s="9">
        <v>0</v>
      </c>
      <c r="R580" s="13">
        <v>41815</v>
      </c>
      <c r="S580" s="13">
        <v>41815</v>
      </c>
    </row>
    <row r="581" spans="1:19">
      <c r="A581" s="10">
        <v>2014</v>
      </c>
      <c r="B581" s="11" t="s">
        <v>483</v>
      </c>
      <c r="C581" s="11" t="s">
        <v>484</v>
      </c>
      <c r="D581" s="12">
        <v>1015042</v>
      </c>
      <c r="E581" s="12">
        <v>2</v>
      </c>
      <c r="F581" s="12"/>
      <c r="G581" s="12">
        <v>790</v>
      </c>
      <c r="H581" s="12">
        <v>13</v>
      </c>
      <c r="I581" s="12"/>
      <c r="J581" s="12" t="s">
        <v>118</v>
      </c>
      <c r="K581" s="12" t="b">
        <v>1</v>
      </c>
      <c r="L581" s="12">
        <v>7</v>
      </c>
      <c r="M581" s="8">
        <v>2021</v>
      </c>
      <c r="N581" s="9">
        <v>0</v>
      </c>
      <c r="O581" s="9">
        <v>0</v>
      </c>
      <c r="P581" s="9">
        <v>0</v>
      </c>
      <c r="Q581" s="9">
        <v>0</v>
      </c>
      <c r="R581" s="13">
        <v>41815</v>
      </c>
      <c r="S581" s="13">
        <v>41815</v>
      </c>
    </row>
    <row r="582" spans="1:19">
      <c r="A582" s="10">
        <v>2014</v>
      </c>
      <c r="B582" s="11" t="s">
        <v>483</v>
      </c>
      <c r="C582" s="11" t="s">
        <v>484</v>
      </c>
      <c r="D582" s="12">
        <v>1015042</v>
      </c>
      <c r="E582" s="12">
        <v>2</v>
      </c>
      <c r="F582" s="12"/>
      <c r="G582" s="12">
        <v>650</v>
      </c>
      <c r="H582" s="12">
        <v>11.6</v>
      </c>
      <c r="I582" s="12"/>
      <c r="J582" s="12" t="s">
        <v>96</v>
      </c>
      <c r="K582" s="12" t="b">
        <v>1</v>
      </c>
      <c r="L582" s="12">
        <v>5</v>
      </c>
      <c r="M582" s="8">
        <v>2019</v>
      </c>
      <c r="N582" s="9">
        <v>11521.31</v>
      </c>
      <c r="O582" s="9">
        <v>13360</v>
      </c>
      <c r="P582" s="9">
        <v>43097</v>
      </c>
      <c r="Q582" s="9">
        <v>42094</v>
      </c>
      <c r="R582" s="13">
        <v>41815</v>
      </c>
      <c r="S582" s="13">
        <v>41815</v>
      </c>
    </row>
    <row r="583" spans="1:19">
      <c r="A583" s="10">
        <v>2014</v>
      </c>
      <c r="B583" s="11" t="s">
        <v>483</v>
      </c>
      <c r="C583" s="11" t="s">
        <v>484</v>
      </c>
      <c r="D583" s="12">
        <v>1015042</v>
      </c>
      <c r="E583" s="12">
        <v>2</v>
      </c>
      <c r="F583" s="12"/>
      <c r="G583" s="12">
        <v>650</v>
      </c>
      <c r="H583" s="12">
        <v>11.6</v>
      </c>
      <c r="I583" s="12"/>
      <c r="J583" s="12" t="s">
        <v>96</v>
      </c>
      <c r="K583" s="12" t="b">
        <v>1</v>
      </c>
      <c r="L583" s="12">
        <v>2</v>
      </c>
      <c r="M583" s="8">
        <v>2016</v>
      </c>
      <c r="N583" s="9">
        <v>11521.31</v>
      </c>
      <c r="O583" s="9">
        <v>13360</v>
      </c>
      <c r="P583" s="9">
        <v>43097</v>
      </c>
      <c r="Q583" s="9">
        <v>42094</v>
      </c>
      <c r="R583" s="13">
        <v>41815</v>
      </c>
      <c r="S583" s="13">
        <v>41815</v>
      </c>
    </row>
    <row r="584" spans="1:19">
      <c r="A584" s="10">
        <v>2014</v>
      </c>
      <c r="B584" s="11" t="s">
        <v>483</v>
      </c>
      <c r="C584" s="11" t="s">
        <v>484</v>
      </c>
      <c r="D584" s="12">
        <v>1015042</v>
      </c>
      <c r="E584" s="12">
        <v>2</v>
      </c>
      <c r="F584" s="12"/>
      <c r="G584" s="12">
        <v>650</v>
      </c>
      <c r="H584" s="12">
        <v>11.6</v>
      </c>
      <c r="I584" s="12"/>
      <c r="J584" s="12" t="s">
        <v>96</v>
      </c>
      <c r="K584" s="12" t="b">
        <v>1</v>
      </c>
      <c r="L584" s="12">
        <v>8</v>
      </c>
      <c r="M584" s="8">
        <v>2022</v>
      </c>
      <c r="N584" s="9">
        <v>11521.31</v>
      </c>
      <c r="O584" s="9">
        <v>13360</v>
      </c>
      <c r="P584" s="9">
        <v>43097</v>
      </c>
      <c r="Q584" s="9">
        <v>42094</v>
      </c>
      <c r="R584" s="13">
        <v>41815</v>
      </c>
      <c r="S584" s="13">
        <v>41815</v>
      </c>
    </row>
    <row r="585" spans="1:19">
      <c r="A585" s="10">
        <v>2014</v>
      </c>
      <c r="B585" s="11" t="s">
        <v>483</v>
      </c>
      <c r="C585" s="11" t="s">
        <v>484</v>
      </c>
      <c r="D585" s="12">
        <v>1015042</v>
      </c>
      <c r="E585" s="12">
        <v>2</v>
      </c>
      <c r="F585" s="12"/>
      <c r="G585" s="12">
        <v>650</v>
      </c>
      <c r="H585" s="12">
        <v>11.6</v>
      </c>
      <c r="I585" s="12"/>
      <c r="J585" s="12" t="s">
        <v>96</v>
      </c>
      <c r="K585" s="12" t="b">
        <v>1</v>
      </c>
      <c r="L585" s="12">
        <v>4</v>
      </c>
      <c r="M585" s="8">
        <v>2018</v>
      </c>
      <c r="N585" s="9">
        <v>11521.31</v>
      </c>
      <c r="O585" s="9">
        <v>13360</v>
      </c>
      <c r="P585" s="9">
        <v>43097</v>
      </c>
      <c r="Q585" s="9">
        <v>42094</v>
      </c>
      <c r="R585" s="13">
        <v>41815</v>
      </c>
      <c r="S585" s="13">
        <v>41815</v>
      </c>
    </row>
    <row r="586" spans="1:19">
      <c r="A586" s="10">
        <v>2014</v>
      </c>
      <c r="B586" s="11" t="s">
        <v>483</v>
      </c>
      <c r="C586" s="11" t="s">
        <v>484</v>
      </c>
      <c r="D586" s="12">
        <v>1015042</v>
      </c>
      <c r="E586" s="12">
        <v>2</v>
      </c>
      <c r="F586" s="12"/>
      <c r="G586" s="12">
        <v>650</v>
      </c>
      <c r="H586" s="12">
        <v>11.6</v>
      </c>
      <c r="I586" s="12"/>
      <c r="J586" s="12" t="s">
        <v>96</v>
      </c>
      <c r="K586" s="12" t="b">
        <v>1</v>
      </c>
      <c r="L586" s="12">
        <v>1</v>
      </c>
      <c r="M586" s="8">
        <v>2015</v>
      </c>
      <c r="N586" s="9">
        <v>11521.31</v>
      </c>
      <c r="O586" s="9">
        <v>13360</v>
      </c>
      <c r="P586" s="9">
        <v>43097</v>
      </c>
      <c r="Q586" s="9">
        <v>42094</v>
      </c>
      <c r="R586" s="13">
        <v>41815</v>
      </c>
      <c r="S586" s="13">
        <v>41815</v>
      </c>
    </row>
    <row r="587" spans="1:19">
      <c r="A587" s="10">
        <v>2014</v>
      </c>
      <c r="B587" s="11" t="s">
        <v>483</v>
      </c>
      <c r="C587" s="11" t="s">
        <v>484</v>
      </c>
      <c r="D587" s="12">
        <v>1015042</v>
      </c>
      <c r="E587" s="12">
        <v>2</v>
      </c>
      <c r="F587" s="12"/>
      <c r="G587" s="12">
        <v>650</v>
      </c>
      <c r="H587" s="12">
        <v>11.6</v>
      </c>
      <c r="I587" s="12"/>
      <c r="J587" s="12" t="s">
        <v>96</v>
      </c>
      <c r="K587" s="12" t="b">
        <v>1</v>
      </c>
      <c r="L587" s="12">
        <v>0</v>
      </c>
      <c r="M587" s="8">
        <v>2014</v>
      </c>
      <c r="N587" s="9">
        <v>11521.31</v>
      </c>
      <c r="O587" s="9">
        <v>13360</v>
      </c>
      <c r="P587" s="9">
        <v>43097</v>
      </c>
      <c r="Q587" s="9">
        <v>42094</v>
      </c>
      <c r="R587" s="13">
        <v>41815</v>
      </c>
      <c r="S587" s="13">
        <v>41815</v>
      </c>
    </row>
    <row r="588" spans="1:19">
      <c r="A588" s="10">
        <v>2014</v>
      </c>
      <c r="B588" s="11" t="s">
        <v>483</v>
      </c>
      <c r="C588" s="11" t="s">
        <v>484</v>
      </c>
      <c r="D588" s="12">
        <v>1015042</v>
      </c>
      <c r="E588" s="12">
        <v>2</v>
      </c>
      <c r="F588" s="12"/>
      <c r="G588" s="12">
        <v>650</v>
      </c>
      <c r="H588" s="12">
        <v>11.6</v>
      </c>
      <c r="I588" s="12"/>
      <c r="J588" s="12" t="s">
        <v>96</v>
      </c>
      <c r="K588" s="12" t="b">
        <v>1</v>
      </c>
      <c r="L588" s="12">
        <v>3</v>
      </c>
      <c r="M588" s="8">
        <v>2017</v>
      </c>
      <c r="N588" s="9">
        <v>11521.31</v>
      </c>
      <c r="O588" s="9">
        <v>13360</v>
      </c>
      <c r="P588" s="9">
        <v>43097</v>
      </c>
      <c r="Q588" s="9">
        <v>42094</v>
      </c>
      <c r="R588" s="13">
        <v>41815</v>
      </c>
      <c r="S588" s="13">
        <v>41815</v>
      </c>
    </row>
    <row r="589" spans="1:19">
      <c r="A589" s="10">
        <v>2014</v>
      </c>
      <c r="B589" s="11" t="s">
        <v>483</v>
      </c>
      <c r="C589" s="11" t="s">
        <v>484</v>
      </c>
      <c r="D589" s="12">
        <v>1015042</v>
      </c>
      <c r="E589" s="12">
        <v>2</v>
      </c>
      <c r="F589" s="12"/>
      <c r="G589" s="12">
        <v>650</v>
      </c>
      <c r="H589" s="12">
        <v>11.6</v>
      </c>
      <c r="I589" s="12"/>
      <c r="J589" s="12" t="s">
        <v>96</v>
      </c>
      <c r="K589" s="12" t="b">
        <v>1</v>
      </c>
      <c r="L589" s="12">
        <v>6</v>
      </c>
      <c r="M589" s="8">
        <v>2020</v>
      </c>
      <c r="N589" s="9">
        <v>11521.31</v>
      </c>
      <c r="O589" s="9">
        <v>13360</v>
      </c>
      <c r="P589" s="9">
        <v>43097</v>
      </c>
      <c r="Q589" s="9">
        <v>42094</v>
      </c>
      <c r="R589" s="13">
        <v>41815</v>
      </c>
      <c r="S589" s="13">
        <v>41815</v>
      </c>
    </row>
    <row r="590" spans="1:19">
      <c r="A590" s="10">
        <v>2014</v>
      </c>
      <c r="B590" s="11" t="s">
        <v>483</v>
      </c>
      <c r="C590" s="11" t="s">
        <v>484</v>
      </c>
      <c r="D590" s="12">
        <v>1015042</v>
      </c>
      <c r="E590" s="12">
        <v>2</v>
      </c>
      <c r="F590" s="12"/>
      <c r="G590" s="12">
        <v>650</v>
      </c>
      <c r="H590" s="12">
        <v>11.6</v>
      </c>
      <c r="I590" s="12"/>
      <c r="J590" s="12" t="s">
        <v>96</v>
      </c>
      <c r="K590" s="12" t="b">
        <v>1</v>
      </c>
      <c r="L590" s="12">
        <v>7</v>
      </c>
      <c r="M590" s="8">
        <v>2021</v>
      </c>
      <c r="N590" s="9">
        <v>11521.31</v>
      </c>
      <c r="O590" s="9">
        <v>13360</v>
      </c>
      <c r="P590" s="9">
        <v>43097</v>
      </c>
      <c r="Q590" s="9">
        <v>42094</v>
      </c>
      <c r="R590" s="13">
        <v>41815</v>
      </c>
      <c r="S590" s="13">
        <v>41815</v>
      </c>
    </row>
    <row r="591" spans="1:19">
      <c r="A591" s="10">
        <v>2014</v>
      </c>
      <c r="B591" s="11" t="s">
        <v>483</v>
      </c>
      <c r="C591" s="11" t="s">
        <v>484</v>
      </c>
      <c r="D591" s="12">
        <v>1015042</v>
      </c>
      <c r="E591" s="12">
        <v>2</v>
      </c>
      <c r="F591" s="12"/>
      <c r="G591" s="12">
        <v>250</v>
      </c>
      <c r="H591" s="12" t="s">
        <v>70</v>
      </c>
      <c r="I591" s="12"/>
      <c r="J591" s="12" t="s">
        <v>71</v>
      </c>
      <c r="K591" s="12" t="b">
        <v>0</v>
      </c>
      <c r="L591" s="12">
        <v>5</v>
      </c>
      <c r="M591" s="8">
        <v>2019</v>
      </c>
      <c r="N591" s="9">
        <v>53430.48</v>
      </c>
      <c r="O591" s="9">
        <v>0</v>
      </c>
      <c r="P591" s="9">
        <v>75040</v>
      </c>
      <c r="Q591" s="9">
        <v>0</v>
      </c>
      <c r="R591" s="13">
        <v>41815</v>
      </c>
      <c r="S591" s="13">
        <v>41815</v>
      </c>
    </row>
    <row r="592" spans="1:19">
      <c r="A592" s="10">
        <v>2014</v>
      </c>
      <c r="B592" s="11" t="s">
        <v>483</v>
      </c>
      <c r="C592" s="11" t="s">
        <v>484</v>
      </c>
      <c r="D592" s="12">
        <v>1015042</v>
      </c>
      <c r="E592" s="12">
        <v>2</v>
      </c>
      <c r="F592" s="12"/>
      <c r="G592" s="12">
        <v>250</v>
      </c>
      <c r="H592" s="12" t="s">
        <v>70</v>
      </c>
      <c r="I592" s="12"/>
      <c r="J592" s="12" t="s">
        <v>71</v>
      </c>
      <c r="K592" s="12" t="b">
        <v>0</v>
      </c>
      <c r="L592" s="12">
        <v>2</v>
      </c>
      <c r="M592" s="8">
        <v>2016</v>
      </c>
      <c r="N592" s="9">
        <v>53430.48</v>
      </c>
      <c r="O592" s="9">
        <v>0</v>
      </c>
      <c r="P592" s="9">
        <v>75040</v>
      </c>
      <c r="Q592" s="9">
        <v>0</v>
      </c>
      <c r="R592" s="13">
        <v>41815</v>
      </c>
      <c r="S592" s="13">
        <v>41815</v>
      </c>
    </row>
    <row r="593" spans="1:19">
      <c r="A593" s="10">
        <v>2014</v>
      </c>
      <c r="B593" s="11" t="s">
        <v>483</v>
      </c>
      <c r="C593" s="11" t="s">
        <v>484</v>
      </c>
      <c r="D593" s="12">
        <v>1015042</v>
      </c>
      <c r="E593" s="12">
        <v>2</v>
      </c>
      <c r="F593" s="12"/>
      <c r="G593" s="12">
        <v>250</v>
      </c>
      <c r="H593" s="12" t="s">
        <v>70</v>
      </c>
      <c r="I593" s="12"/>
      <c r="J593" s="12" t="s">
        <v>71</v>
      </c>
      <c r="K593" s="12" t="b">
        <v>0</v>
      </c>
      <c r="L593" s="12">
        <v>7</v>
      </c>
      <c r="M593" s="8">
        <v>2021</v>
      </c>
      <c r="N593" s="9">
        <v>53430.48</v>
      </c>
      <c r="O593" s="9">
        <v>0</v>
      </c>
      <c r="P593" s="9">
        <v>75040</v>
      </c>
      <c r="Q593" s="9">
        <v>0</v>
      </c>
      <c r="R593" s="13">
        <v>41815</v>
      </c>
      <c r="S593" s="13">
        <v>41815</v>
      </c>
    </row>
    <row r="594" spans="1:19">
      <c r="A594" s="10">
        <v>2014</v>
      </c>
      <c r="B594" s="11" t="s">
        <v>483</v>
      </c>
      <c r="C594" s="11" t="s">
        <v>484</v>
      </c>
      <c r="D594" s="12">
        <v>1015042</v>
      </c>
      <c r="E594" s="12">
        <v>2</v>
      </c>
      <c r="F594" s="12"/>
      <c r="G594" s="12">
        <v>250</v>
      </c>
      <c r="H594" s="12" t="s">
        <v>70</v>
      </c>
      <c r="I594" s="12"/>
      <c r="J594" s="12" t="s">
        <v>71</v>
      </c>
      <c r="K594" s="12" t="b">
        <v>0</v>
      </c>
      <c r="L594" s="12">
        <v>0</v>
      </c>
      <c r="M594" s="8">
        <v>2014</v>
      </c>
      <c r="N594" s="9">
        <v>53430.48</v>
      </c>
      <c r="O594" s="9">
        <v>0</v>
      </c>
      <c r="P594" s="9">
        <v>75040</v>
      </c>
      <c r="Q594" s="9">
        <v>0</v>
      </c>
      <c r="R594" s="13">
        <v>41815</v>
      </c>
      <c r="S594" s="13">
        <v>41815</v>
      </c>
    </row>
    <row r="595" spans="1:19">
      <c r="A595" s="10">
        <v>2014</v>
      </c>
      <c r="B595" s="11" t="s">
        <v>483</v>
      </c>
      <c r="C595" s="11" t="s">
        <v>484</v>
      </c>
      <c r="D595" s="12">
        <v>1015042</v>
      </c>
      <c r="E595" s="12">
        <v>2</v>
      </c>
      <c r="F595" s="12"/>
      <c r="G595" s="12">
        <v>250</v>
      </c>
      <c r="H595" s="12" t="s">
        <v>70</v>
      </c>
      <c r="I595" s="12"/>
      <c r="J595" s="12" t="s">
        <v>71</v>
      </c>
      <c r="K595" s="12" t="b">
        <v>0</v>
      </c>
      <c r="L595" s="12">
        <v>3</v>
      </c>
      <c r="M595" s="8">
        <v>2017</v>
      </c>
      <c r="N595" s="9">
        <v>53430.48</v>
      </c>
      <c r="O595" s="9">
        <v>0</v>
      </c>
      <c r="P595" s="9">
        <v>75040</v>
      </c>
      <c r="Q595" s="9">
        <v>0</v>
      </c>
      <c r="R595" s="13">
        <v>41815</v>
      </c>
      <c r="S595" s="13">
        <v>41815</v>
      </c>
    </row>
    <row r="596" spans="1:19">
      <c r="A596" s="10">
        <v>2014</v>
      </c>
      <c r="B596" s="11" t="s">
        <v>483</v>
      </c>
      <c r="C596" s="11" t="s">
        <v>484</v>
      </c>
      <c r="D596" s="12">
        <v>1015042</v>
      </c>
      <c r="E596" s="12">
        <v>2</v>
      </c>
      <c r="F596" s="12"/>
      <c r="G596" s="12">
        <v>250</v>
      </c>
      <c r="H596" s="12" t="s">
        <v>70</v>
      </c>
      <c r="I596" s="12"/>
      <c r="J596" s="12" t="s">
        <v>71</v>
      </c>
      <c r="K596" s="12" t="b">
        <v>0</v>
      </c>
      <c r="L596" s="12">
        <v>1</v>
      </c>
      <c r="M596" s="8">
        <v>2015</v>
      </c>
      <c r="N596" s="9">
        <v>53430.48</v>
      </c>
      <c r="O596" s="9">
        <v>0</v>
      </c>
      <c r="P596" s="9">
        <v>75040</v>
      </c>
      <c r="Q596" s="9">
        <v>0</v>
      </c>
      <c r="R596" s="13">
        <v>41815</v>
      </c>
      <c r="S596" s="13">
        <v>41815</v>
      </c>
    </row>
    <row r="597" spans="1:19">
      <c r="A597" s="10">
        <v>2014</v>
      </c>
      <c r="B597" s="11" t="s">
        <v>483</v>
      </c>
      <c r="C597" s="11" t="s">
        <v>484</v>
      </c>
      <c r="D597" s="12">
        <v>1015042</v>
      </c>
      <c r="E597" s="12">
        <v>2</v>
      </c>
      <c r="F597" s="12"/>
      <c r="G597" s="12">
        <v>250</v>
      </c>
      <c r="H597" s="12" t="s">
        <v>70</v>
      </c>
      <c r="I597" s="12"/>
      <c r="J597" s="12" t="s">
        <v>71</v>
      </c>
      <c r="K597" s="12" t="b">
        <v>0</v>
      </c>
      <c r="L597" s="12">
        <v>8</v>
      </c>
      <c r="M597" s="8">
        <v>2022</v>
      </c>
      <c r="N597" s="9">
        <v>53430.48</v>
      </c>
      <c r="O597" s="9">
        <v>0</v>
      </c>
      <c r="P597" s="9">
        <v>75040</v>
      </c>
      <c r="Q597" s="9">
        <v>0</v>
      </c>
      <c r="R597" s="13">
        <v>41815</v>
      </c>
      <c r="S597" s="13">
        <v>41815</v>
      </c>
    </row>
    <row r="598" spans="1:19">
      <c r="A598" s="10">
        <v>2014</v>
      </c>
      <c r="B598" s="11" t="s">
        <v>483</v>
      </c>
      <c r="C598" s="11" t="s">
        <v>484</v>
      </c>
      <c r="D598" s="12">
        <v>1015042</v>
      </c>
      <c r="E598" s="12">
        <v>2</v>
      </c>
      <c r="F598" s="12"/>
      <c r="G598" s="12">
        <v>250</v>
      </c>
      <c r="H598" s="12" t="s">
        <v>70</v>
      </c>
      <c r="I598" s="12"/>
      <c r="J598" s="12" t="s">
        <v>71</v>
      </c>
      <c r="K598" s="12" t="b">
        <v>0</v>
      </c>
      <c r="L598" s="12">
        <v>4</v>
      </c>
      <c r="M598" s="8">
        <v>2018</v>
      </c>
      <c r="N598" s="9">
        <v>53430.48</v>
      </c>
      <c r="O598" s="9">
        <v>0</v>
      </c>
      <c r="P598" s="9">
        <v>75040</v>
      </c>
      <c r="Q598" s="9">
        <v>0</v>
      </c>
      <c r="R598" s="13">
        <v>41815</v>
      </c>
      <c r="S598" s="13">
        <v>41815</v>
      </c>
    </row>
    <row r="599" spans="1:19">
      <c r="A599" s="10">
        <v>2014</v>
      </c>
      <c r="B599" s="11" t="s">
        <v>483</v>
      </c>
      <c r="C599" s="11" t="s">
        <v>484</v>
      </c>
      <c r="D599" s="12">
        <v>1015042</v>
      </c>
      <c r="E599" s="12">
        <v>2</v>
      </c>
      <c r="F599" s="12"/>
      <c r="G599" s="12">
        <v>250</v>
      </c>
      <c r="H599" s="12" t="s">
        <v>70</v>
      </c>
      <c r="I599" s="12"/>
      <c r="J599" s="12" t="s">
        <v>71</v>
      </c>
      <c r="K599" s="12" t="b">
        <v>0</v>
      </c>
      <c r="L599" s="12">
        <v>6</v>
      </c>
      <c r="M599" s="8">
        <v>2020</v>
      </c>
      <c r="N599" s="9">
        <v>53430.48</v>
      </c>
      <c r="O599" s="9">
        <v>0</v>
      </c>
      <c r="P599" s="9">
        <v>75040</v>
      </c>
      <c r="Q599" s="9">
        <v>0</v>
      </c>
      <c r="R599" s="13">
        <v>41815</v>
      </c>
      <c r="S599" s="13">
        <v>41815</v>
      </c>
    </row>
    <row r="600" spans="1:19">
      <c r="A600" s="10">
        <v>2014</v>
      </c>
      <c r="B600" s="11" t="s">
        <v>483</v>
      </c>
      <c r="C600" s="11" t="s">
        <v>484</v>
      </c>
      <c r="D600" s="12">
        <v>1015042</v>
      </c>
      <c r="E600" s="12">
        <v>2</v>
      </c>
      <c r="F600" s="12"/>
      <c r="G600" s="12">
        <v>430</v>
      </c>
      <c r="H600" s="12">
        <v>8.1999999999999993</v>
      </c>
      <c r="I600" s="12" t="s">
        <v>377</v>
      </c>
      <c r="J600" s="12" t="s">
        <v>378</v>
      </c>
      <c r="K600" s="12" t="b">
        <v>0</v>
      </c>
      <c r="L600" s="12">
        <v>8</v>
      </c>
      <c r="M600" s="8">
        <v>2022</v>
      </c>
      <c r="N600" s="9">
        <v>1086933.92</v>
      </c>
      <c r="O600" s="9">
        <v>1419987.38</v>
      </c>
      <c r="P600" s="9">
        <v>547996.44999999995</v>
      </c>
      <c r="Q600" s="9">
        <v>1032579.24</v>
      </c>
      <c r="R600" s="13">
        <v>41815</v>
      </c>
      <c r="S600" s="13">
        <v>41815</v>
      </c>
    </row>
    <row r="601" spans="1:19">
      <c r="A601" s="10">
        <v>2014</v>
      </c>
      <c r="B601" s="11" t="s">
        <v>483</v>
      </c>
      <c r="C601" s="11" t="s">
        <v>484</v>
      </c>
      <c r="D601" s="12">
        <v>1015042</v>
      </c>
      <c r="E601" s="12">
        <v>2</v>
      </c>
      <c r="F601" s="12"/>
      <c r="G601" s="12">
        <v>430</v>
      </c>
      <c r="H601" s="12">
        <v>8.1999999999999993</v>
      </c>
      <c r="I601" s="12" t="s">
        <v>377</v>
      </c>
      <c r="J601" s="12" t="s">
        <v>378</v>
      </c>
      <c r="K601" s="12" t="b">
        <v>0</v>
      </c>
      <c r="L601" s="12">
        <v>2</v>
      </c>
      <c r="M601" s="8">
        <v>2016</v>
      </c>
      <c r="N601" s="9">
        <v>1086933.92</v>
      </c>
      <c r="O601" s="9">
        <v>1419987.38</v>
      </c>
      <c r="P601" s="9">
        <v>547996.44999999995</v>
      </c>
      <c r="Q601" s="9">
        <v>1032579.24</v>
      </c>
      <c r="R601" s="13">
        <v>41815</v>
      </c>
      <c r="S601" s="13">
        <v>41815</v>
      </c>
    </row>
    <row r="602" spans="1:19">
      <c r="A602" s="10">
        <v>2014</v>
      </c>
      <c r="B602" s="11" t="s">
        <v>483</v>
      </c>
      <c r="C602" s="11" t="s">
        <v>484</v>
      </c>
      <c r="D602" s="12">
        <v>1015042</v>
      </c>
      <c r="E602" s="12">
        <v>2</v>
      </c>
      <c r="F602" s="12"/>
      <c r="G602" s="12">
        <v>430</v>
      </c>
      <c r="H602" s="12">
        <v>8.1999999999999993</v>
      </c>
      <c r="I602" s="12" t="s">
        <v>377</v>
      </c>
      <c r="J602" s="12" t="s">
        <v>378</v>
      </c>
      <c r="K602" s="12" t="b">
        <v>0</v>
      </c>
      <c r="L602" s="12">
        <v>3</v>
      </c>
      <c r="M602" s="8">
        <v>2017</v>
      </c>
      <c r="N602" s="9">
        <v>1086933.92</v>
      </c>
      <c r="O602" s="9">
        <v>1419987.38</v>
      </c>
      <c r="P602" s="9">
        <v>547996.44999999995</v>
      </c>
      <c r="Q602" s="9">
        <v>1032579.24</v>
      </c>
      <c r="R602" s="13">
        <v>41815</v>
      </c>
      <c r="S602" s="13">
        <v>41815</v>
      </c>
    </row>
    <row r="603" spans="1:19">
      <c r="A603" s="10">
        <v>2014</v>
      </c>
      <c r="B603" s="11" t="s">
        <v>483</v>
      </c>
      <c r="C603" s="11" t="s">
        <v>484</v>
      </c>
      <c r="D603" s="12">
        <v>1015042</v>
      </c>
      <c r="E603" s="12">
        <v>2</v>
      </c>
      <c r="F603" s="12"/>
      <c r="G603" s="12">
        <v>430</v>
      </c>
      <c r="H603" s="12">
        <v>8.1999999999999993</v>
      </c>
      <c r="I603" s="12" t="s">
        <v>377</v>
      </c>
      <c r="J603" s="12" t="s">
        <v>378</v>
      </c>
      <c r="K603" s="12" t="b">
        <v>0</v>
      </c>
      <c r="L603" s="12">
        <v>4</v>
      </c>
      <c r="M603" s="8">
        <v>2018</v>
      </c>
      <c r="N603" s="9">
        <v>1086933.92</v>
      </c>
      <c r="O603" s="9">
        <v>1419987.38</v>
      </c>
      <c r="P603" s="9">
        <v>547996.44999999995</v>
      </c>
      <c r="Q603" s="9">
        <v>1032579.24</v>
      </c>
      <c r="R603" s="13">
        <v>41815</v>
      </c>
      <c r="S603" s="13">
        <v>41815</v>
      </c>
    </row>
    <row r="604" spans="1:19">
      <c r="A604" s="10">
        <v>2014</v>
      </c>
      <c r="B604" s="11" t="s">
        <v>483</v>
      </c>
      <c r="C604" s="11" t="s">
        <v>484</v>
      </c>
      <c r="D604" s="12">
        <v>1015042</v>
      </c>
      <c r="E604" s="12">
        <v>2</v>
      </c>
      <c r="F604" s="12"/>
      <c r="G604" s="12">
        <v>430</v>
      </c>
      <c r="H604" s="12">
        <v>8.1999999999999993</v>
      </c>
      <c r="I604" s="12" t="s">
        <v>377</v>
      </c>
      <c r="J604" s="12" t="s">
        <v>378</v>
      </c>
      <c r="K604" s="12" t="b">
        <v>0</v>
      </c>
      <c r="L604" s="12">
        <v>0</v>
      </c>
      <c r="M604" s="8">
        <v>2014</v>
      </c>
      <c r="N604" s="9">
        <v>1086933.92</v>
      </c>
      <c r="O604" s="9">
        <v>1419987.38</v>
      </c>
      <c r="P604" s="9">
        <v>547996.44999999995</v>
      </c>
      <c r="Q604" s="9">
        <v>1032579.24</v>
      </c>
      <c r="R604" s="13">
        <v>41815</v>
      </c>
      <c r="S604" s="13">
        <v>41815</v>
      </c>
    </row>
    <row r="605" spans="1:19">
      <c r="A605" s="10">
        <v>2014</v>
      </c>
      <c r="B605" s="11" t="s">
        <v>483</v>
      </c>
      <c r="C605" s="11" t="s">
        <v>484</v>
      </c>
      <c r="D605" s="12">
        <v>1015042</v>
      </c>
      <c r="E605" s="12">
        <v>2</v>
      </c>
      <c r="F605" s="12"/>
      <c r="G605" s="12">
        <v>430</v>
      </c>
      <c r="H605" s="12">
        <v>8.1999999999999993</v>
      </c>
      <c r="I605" s="12" t="s">
        <v>377</v>
      </c>
      <c r="J605" s="12" t="s">
        <v>378</v>
      </c>
      <c r="K605" s="12" t="b">
        <v>0</v>
      </c>
      <c r="L605" s="12">
        <v>6</v>
      </c>
      <c r="M605" s="8">
        <v>2020</v>
      </c>
      <c r="N605" s="9">
        <v>1086933.92</v>
      </c>
      <c r="O605" s="9">
        <v>1419987.38</v>
      </c>
      <c r="P605" s="9">
        <v>547996.44999999995</v>
      </c>
      <c r="Q605" s="9">
        <v>1032579.24</v>
      </c>
      <c r="R605" s="13">
        <v>41815</v>
      </c>
      <c r="S605" s="13">
        <v>41815</v>
      </c>
    </row>
    <row r="606" spans="1:19">
      <c r="A606" s="10">
        <v>2014</v>
      </c>
      <c r="B606" s="11" t="s">
        <v>483</v>
      </c>
      <c r="C606" s="11" t="s">
        <v>484</v>
      </c>
      <c r="D606" s="12">
        <v>1015042</v>
      </c>
      <c r="E606" s="12">
        <v>2</v>
      </c>
      <c r="F606" s="12"/>
      <c r="G606" s="12">
        <v>430</v>
      </c>
      <c r="H606" s="12">
        <v>8.1999999999999993</v>
      </c>
      <c r="I606" s="12" t="s">
        <v>377</v>
      </c>
      <c r="J606" s="12" t="s">
        <v>378</v>
      </c>
      <c r="K606" s="12" t="b">
        <v>0</v>
      </c>
      <c r="L606" s="12">
        <v>7</v>
      </c>
      <c r="M606" s="8">
        <v>2021</v>
      </c>
      <c r="N606" s="9">
        <v>1086933.92</v>
      </c>
      <c r="O606" s="9">
        <v>1419987.38</v>
      </c>
      <c r="P606" s="9">
        <v>547996.44999999995</v>
      </c>
      <c r="Q606" s="9">
        <v>1032579.24</v>
      </c>
      <c r="R606" s="13">
        <v>41815</v>
      </c>
      <c r="S606" s="13">
        <v>41815</v>
      </c>
    </row>
    <row r="607" spans="1:19">
      <c r="A607" s="10">
        <v>2014</v>
      </c>
      <c r="B607" s="11" t="s">
        <v>483</v>
      </c>
      <c r="C607" s="11" t="s">
        <v>484</v>
      </c>
      <c r="D607" s="12">
        <v>1015042</v>
      </c>
      <c r="E607" s="12">
        <v>2</v>
      </c>
      <c r="F607" s="12"/>
      <c r="G607" s="12">
        <v>430</v>
      </c>
      <c r="H607" s="12">
        <v>8.1999999999999993</v>
      </c>
      <c r="I607" s="12" t="s">
        <v>377</v>
      </c>
      <c r="J607" s="12" t="s">
        <v>378</v>
      </c>
      <c r="K607" s="12" t="b">
        <v>0</v>
      </c>
      <c r="L607" s="12">
        <v>1</v>
      </c>
      <c r="M607" s="8">
        <v>2015</v>
      </c>
      <c r="N607" s="9">
        <v>1086933.92</v>
      </c>
      <c r="O607" s="9">
        <v>1419987.38</v>
      </c>
      <c r="P607" s="9">
        <v>547996.44999999995</v>
      </c>
      <c r="Q607" s="9">
        <v>1032579.24</v>
      </c>
      <c r="R607" s="13">
        <v>41815</v>
      </c>
      <c r="S607" s="13">
        <v>41815</v>
      </c>
    </row>
    <row r="608" spans="1:19">
      <c r="A608" s="10">
        <v>2014</v>
      </c>
      <c r="B608" s="11" t="s">
        <v>483</v>
      </c>
      <c r="C608" s="11" t="s">
        <v>484</v>
      </c>
      <c r="D608" s="12">
        <v>1015042</v>
      </c>
      <c r="E608" s="12">
        <v>2</v>
      </c>
      <c r="F608" s="12"/>
      <c r="G608" s="12">
        <v>430</v>
      </c>
      <c r="H608" s="12">
        <v>8.1999999999999993</v>
      </c>
      <c r="I608" s="12" t="s">
        <v>377</v>
      </c>
      <c r="J608" s="12" t="s">
        <v>378</v>
      </c>
      <c r="K608" s="12" t="b">
        <v>0</v>
      </c>
      <c r="L608" s="12">
        <v>5</v>
      </c>
      <c r="M608" s="8">
        <v>2019</v>
      </c>
      <c r="N608" s="9">
        <v>1086933.92</v>
      </c>
      <c r="O608" s="9">
        <v>1419987.38</v>
      </c>
      <c r="P608" s="9">
        <v>547996.44999999995</v>
      </c>
      <c r="Q608" s="9">
        <v>1032579.24</v>
      </c>
      <c r="R608" s="13">
        <v>41815</v>
      </c>
      <c r="S608" s="13">
        <v>41815</v>
      </c>
    </row>
    <row r="609" spans="1:19">
      <c r="A609" s="10">
        <v>2014</v>
      </c>
      <c r="B609" s="11" t="s">
        <v>483</v>
      </c>
      <c r="C609" s="11" t="s">
        <v>484</v>
      </c>
      <c r="D609" s="12">
        <v>1015042</v>
      </c>
      <c r="E609" s="12">
        <v>2</v>
      </c>
      <c r="F609" s="12"/>
      <c r="G609" s="12">
        <v>182</v>
      </c>
      <c r="H609" s="12" t="s">
        <v>362</v>
      </c>
      <c r="I609" s="12"/>
      <c r="J609" s="12" t="s">
        <v>363</v>
      </c>
      <c r="K609" s="12" t="b">
        <v>0</v>
      </c>
      <c r="L609" s="12">
        <v>5</v>
      </c>
      <c r="M609" s="8">
        <v>2019</v>
      </c>
      <c r="N609" s="9">
        <v>0</v>
      </c>
      <c r="O609" s="9">
        <v>0</v>
      </c>
      <c r="P609" s="9">
        <v>0</v>
      </c>
      <c r="Q609" s="9">
        <v>0</v>
      </c>
      <c r="R609" s="13">
        <v>41815</v>
      </c>
      <c r="S609" s="13">
        <v>41815</v>
      </c>
    </row>
    <row r="610" spans="1:19">
      <c r="A610" s="10">
        <v>2014</v>
      </c>
      <c r="B610" s="11" t="s">
        <v>483</v>
      </c>
      <c r="C610" s="11" t="s">
        <v>484</v>
      </c>
      <c r="D610" s="12">
        <v>1015042</v>
      </c>
      <c r="E610" s="12">
        <v>2</v>
      </c>
      <c r="F610" s="12"/>
      <c r="G610" s="12">
        <v>182</v>
      </c>
      <c r="H610" s="12" t="s">
        <v>362</v>
      </c>
      <c r="I610" s="12"/>
      <c r="J610" s="12" t="s">
        <v>363</v>
      </c>
      <c r="K610" s="12" t="b">
        <v>0</v>
      </c>
      <c r="L610" s="12">
        <v>2</v>
      </c>
      <c r="M610" s="8">
        <v>2016</v>
      </c>
      <c r="N610" s="9">
        <v>0</v>
      </c>
      <c r="O610" s="9">
        <v>0</v>
      </c>
      <c r="P610" s="9">
        <v>0</v>
      </c>
      <c r="Q610" s="9">
        <v>0</v>
      </c>
      <c r="R610" s="13">
        <v>41815</v>
      </c>
      <c r="S610" s="13">
        <v>41815</v>
      </c>
    </row>
    <row r="611" spans="1:19">
      <c r="A611" s="10">
        <v>2014</v>
      </c>
      <c r="B611" s="11" t="s">
        <v>483</v>
      </c>
      <c r="C611" s="11" t="s">
        <v>484</v>
      </c>
      <c r="D611" s="12">
        <v>1015042</v>
      </c>
      <c r="E611" s="12">
        <v>2</v>
      </c>
      <c r="F611" s="12"/>
      <c r="G611" s="12">
        <v>182</v>
      </c>
      <c r="H611" s="12" t="s">
        <v>362</v>
      </c>
      <c r="I611" s="12"/>
      <c r="J611" s="12" t="s">
        <v>363</v>
      </c>
      <c r="K611" s="12" t="b">
        <v>0</v>
      </c>
      <c r="L611" s="12">
        <v>1</v>
      </c>
      <c r="M611" s="8">
        <v>2015</v>
      </c>
      <c r="N611" s="9">
        <v>0</v>
      </c>
      <c r="O611" s="9">
        <v>0</v>
      </c>
      <c r="P611" s="9">
        <v>0</v>
      </c>
      <c r="Q611" s="9">
        <v>0</v>
      </c>
      <c r="R611" s="13">
        <v>41815</v>
      </c>
      <c r="S611" s="13">
        <v>41815</v>
      </c>
    </row>
    <row r="612" spans="1:19">
      <c r="A612" s="10">
        <v>2014</v>
      </c>
      <c r="B612" s="11" t="s">
        <v>483</v>
      </c>
      <c r="C612" s="11" t="s">
        <v>484</v>
      </c>
      <c r="D612" s="12">
        <v>1015042</v>
      </c>
      <c r="E612" s="12">
        <v>2</v>
      </c>
      <c r="F612" s="12"/>
      <c r="G612" s="12">
        <v>182</v>
      </c>
      <c r="H612" s="12" t="s">
        <v>362</v>
      </c>
      <c r="I612" s="12"/>
      <c r="J612" s="12" t="s">
        <v>363</v>
      </c>
      <c r="K612" s="12" t="b">
        <v>0</v>
      </c>
      <c r="L612" s="12">
        <v>6</v>
      </c>
      <c r="M612" s="8">
        <v>2020</v>
      </c>
      <c r="N612" s="9">
        <v>0</v>
      </c>
      <c r="O612" s="9">
        <v>0</v>
      </c>
      <c r="P612" s="9">
        <v>0</v>
      </c>
      <c r="Q612" s="9">
        <v>0</v>
      </c>
      <c r="R612" s="13">
        <v>41815</v>
      </c>
      <c r="S612" s="13">
        <v>41815</v>
      </c>
    </row>
    <row r="613" spans="1:19">
      <c r="A613" s="10">
        <v>2014</v>
      </c>
      <c r="B613" s="11" t="s">
        <v>483</v>
      </c>
      <c r="C613" s="11" t="s">
        <v>484</v>
      </c>
      <c r="D613" s="12">
        <v>1015042</v>
      </c>
      <c r="E613" s="12">
        <v>2</v>
      </c>
      <c r="F613" s="12"/>
      <c r="G613" s="12">
        <v>182</v>
      </c>
      <c r="H613" s="12" t="s">
        <v>362</v>
      </c>
      <c r="I613" s="12"/>
      <c r="J613" s="12" t="s">
        <v>363</v>
      </c>
      <c r="K613" s="12" t="b">
        <v>0</v>
      </c>
      <c r="L613" s="12">
        <v>7</v>
      </c>
      <c r="M613" s="8">
        <v>2021</v>
      </c>
      <c r="N613" s="9">
        <v>0</v>
      </c>
      <c r="O613" s="9">
        <v>0</v>
      </c>
      <c r="P613" s="9">
        <v>0</v>
      </c>
      <c r="Q613" s="9">
        <v>0</v>
      </c>
      <c r="R613" s="13">
        <v>41815</v>
      </c>
      <c r="S613" s="13">
        <v>41815</v>
      </c>
    </row>
    <row r="614" spans="1:19">
      <c r="A614" s="10">
        <v>2014</v>
      </c>
      <c r="B614" s="11" t="s">
        <v>483</v>
      </c>
      <c r="C614" s="11" t="s">
        <v>484</v>
      </c>
      <c r="D614" s="12">
        <v>1015042</v>
      </c>
      <c r="E614" s="12">
        <v>2</v>
      </c>
      <c r="F614" s="12"/>
      <c r="G614" s="12">
        <v>182</v>
      </c>
      <c r="H614" s="12" t="s">
        <v>362</v>
      </c>
      <c r="I614" s="12"/>
      <c r="J614" s="12" t="s">
        <v>363</v>
      </c>
      <c r="K614" s="12" t="b">
        <v>0</v>
      </c>
      <c r="L614" s="12">
        <v>8</v>
      </c>
      <c r="M614" s="8">
        <v>2022</v>
      </c>
      <c r="N614" s="9">
        <v>0</v>
      </c>
      <c r="O614" s="9">
        <v>0</v>
      </c>
      <c r="P614" s="9">
        <v>0</v>
      </c>
      <c r="Q614" s="9">
        <v>0</v>
      </c>
      <c r="R614" s="13">
        <v>41815</v>
      </c>
      <c r="S614" s="13">
        <v>41815</v>
      </c>
    </row>
    <row r="615" spans="1:19">
      <c r="A615" s="10">
        <v>2014</v>
      </c>
      <c r="B615" s="11" t="s">
        <v>483</v>
      </c>
      <c r="C615" s="11" t="s">
        <v>484</v>
      </c>
      <c r="D615" s="12">
        <v>1015042</v>
      </c>
      <c r="E615" s="12">
        <v>2</v>
      </c>
      <c r="F615" s="12"/>
      <c r="G615" s="12">
        <v>182</v>
      </c>
      <c r="H615" s="12" t="s">
        <v>362</v>
      </c>
      <c r="I615" s="12"/>
      <c r="J615" s="12" t="s">
        <v>363</v>
      </c>
      <c r="K615" s="12" t="b">
        <v>0</v>
      </c>
      <c r="L615" s="12">
        <v>3</v>
      </c>
      <c r="M615" s="8">
        <v>2017</v>
      </c>
      <c r="N615" s="9">
        <v>0</v>
      </c>
      <c r="O615" s="9">
        <v>0</v>
      </c>
      <c r="P615" s="9">
        <v>0</v>
      </c>
      <c r="Q615" s="9">
        <v>0</v>
      </c>
      <c r="R615" s="13">
        <v>41815</v>
      </c>
      <c r="S615" s="13">
        <v>41815</v>
      </c>
    </row>
    <row r="616" spans="1:19">
      <c r="A616" s="10">
        <v>2014</v>
      </c>
      <c r="B616" s="11" t="s">
        <v>483</v>
      </c>
      <c r="C616" s="11" t="s">
        <v>484</v>
      </c>
      <c r="D616" s="12">
        <v>1015042</v>
      </c>
      <c r="E616" s="12">
        <v>2</v>
      </c>
      <c r="F616" s="12"/>
      <c r="G616" s="12">
        <v>182</v>
      </c>
      <c r="H616" s="12" t="s">
        <v>362</v>
      </c>
      <c r="I616" s="12"/>
      <c r="J616" s="12" t="s">
        <v>363</v>
      </c>
      <c r="K616" s="12" t="b">
        <v>0</v>
      </c>
      <c r="L616" s="12">
        <v>4</v>
      </c>
      <c r="M616" s="8">
        <v>2018</v>
      </c>
      <c r="N616" s="9">
        <v>0</v>
      </c>
      <c r="O616" s="9">
        <v>0</v>
      </c>
      <c r="P616" s="9">
        <v>0</v>
      </c>
      <c r="Q616" s="9">
        <v>0</v>
      </c>
      <c r="R616" s="13">
        <v>41815</v>
      </c>
      <c r="S616" s="13">
        <v>41815</v>
      </c>
    </row>
    <row r="617" spans="1:19">
      <c r="A617" s="10">
        <v>2014</v>
      </c>
      <c r="B617" s="11" t="s">
        <v>483</v>
      </c>
      <c r="C617" s="11" t="s">
        <v>484</v>
      </c>
      <c r="D617" s="12">
        <v>1015042</v>
      </c>
      <c r="E617" s="12">
        <v>2</v>
      </c>
      <c r="F617" s="12"/>
      <c r="G617" s="12">
        <v>182</v>
      </c>
      <c r="H617" s="12" t="s">
        <v>362</v>
      </c>
      <c r="I617" s="12"/>
      <c r="J617" s="12" t="s">
        <v>363</v>
      </c>
      <c r="K617" s="12" t="b">
        <v>0</v>
      </c>
      <c r="L617" s="12">
        <v>0</v>
      </c>
      <c r="M617" s="8">
        <v>2014</v>
      </c>
      <c r="N617" s="9">
        <v>0</v>
      </c>
      <c r="O617" s="9">
        <v>0</v>
      </c>
      <c r="P617" s="9">
        <v>0</v>
      </c>
      <c r="Q617" s="9">
        <v>0</v>
      </c>
      <c r="R617" s="13">
        <v>41815</v>
      </c>
      <c r="S617" s="13">
        <v>41815</v>
      </c>
    </row>
    <row r="618" spans="1:19">
      <c r="A618" s="10">
        <v>2014</v>
      </c>
      <c r="B618" s="11" t="s">
        <v>483</v>
      </c>
      <c r="C618" s="11" t="s">
        <v>484</v>
      </c>
      <c r="D618" s="12">
        <v>1015042</v>
      </c>
      <c r="E618" s="12">
        <v>2</v>
      </c>
      <c r="F618" s="12"/>
      <c r="G618" s="12">
        <v>120</v>
      </c>
      <c r="H618" s="12">
        <v>2</v>
      </c>
      <c r="I618" s="12" t="s">
        <v>485</v>
      </c>
      <c r="J618" s="12" t="s">
        <v>19</v>
      </c>
      <c r="K618" s="12" t="b">
        <v>0</v>
      </c>
      <c r="L618" s="12">
        <v>6</v>
      </c>
      <c r="M618" s="8">
        <v>2020</v>
      </c>
      <c r="N618" s="9">
        <v>10779094.59</v>
      </c>
      <c r="O618" s="9">
        <v>9050022.6400000006</v>
      </c>
      <c r="P618" s="9">
        <v>10587520.99</v>
      </c>
      <c r="Q618" s="9">
        <v>9708899.1999999993</v>
      </c>
      <c r="R618" s="13">
        <v>41815</v>
      </c>
      <c r="S618" s="13">
        <v>41815</v>
      </c>
    </row>
    <row r="619" spans="1:19">
      <c r="A619" s="10">
        <v>2014</v>
      </c>
      <c r="B619" s="11" t="s">
        <v>483</v>
      </c>
      <c r="C619" s="11" t="s">
        <v>484</v>
      </c>
      <c r="D619" s="12">
        <v>1015042</v>
      </c>
      <c r="E619" s="12">
        <v>2</v>
      </c>
      <c r="F619" s="12"/>
      <c r="G619" s="12">
        <v>120</v>
      </c>
      <c r="H619" s="12">
        <v>2</v>
      </c>
      <c r="I619" s="12" t="s">
        <v>485</v>
      </c>
      <c r="J619" s="12" t="s">
        <v>19</v>
      </c>
      <c r="K619" s="12" t="b">
        <v>0</v>
      </c>
      <c r="L619" s="12">
        <v>8</v>
      </c>
      <c r="M619" s="8">
        <v>2022</v>
      </c>
      <c r="N619" s="9">
        <v>10779094.59</v>
      </c>
      <c r="O619" s="9">
        <v>9050022.6400000006</v>
      </c>
      <c r="P619" s="9">
        <v>10587520.99</v>
      </c>
      <c r="Q619" s="9">
        <v>9708899.1999999993</v>
      </c>
      <c r="R619" s="13">
        <v>41815</v>
      </c>
      <c r="S619" s="13">
        <v>41815</v>
      </c>
    </row>
    <row r="620" spans="1:19">
      <c r="A620" s="10">
        <v>2014</v>
      </c>
      <c r="B620" s="11" t="s">
        <v>483</v>
      </c>
      <c r="C620" s="11" t="s">
        <v>484</v>
      </c>
      <c r="D620" s="12">
        <v>1015042</v>
      </c>
      <c r="E620" s="12">
        <v>2</v>
      </c>
      <c r="F620" s="12"/>
      <c r="G620" s="12">
        <v>120</v>
      </c>
      <c r="H620" s="12">
        <v>2</v>
      </c>
      <c r="I620" s="12" t="s">
        <v>485</v>
      </c>
      <c r="J620" s="12" t="s">
        <v>19</v>
      </c>
      <c r="K620" s="12" t="b">
        <v>0</v>
      </c>
      <c r="L620" s="12">
        <v>0</v>
      </c>
      <c r="M620" s="8">
        <v>2014</v>
      </c>
      <c r="N620" s="9">
        <v>10779094.59</v>
      </c>
      <c r="O620" s="9">
        <v>9050022.6400000006</v>
      </c>
      <c r="P620" s="9">
        <v>10587520.99</v>
      </c>
      <c r="Q620" s="9">
        <v>9708899.1999999993</v>
      </c>
      <c r="R620" s="13">
        <v>41815</v>
      </c>
      <c r="S620" s="13">
        <v>41815</v>
      </c>
    </row>
    <row r="621" spans="1:19">
      <c r="A621" s="10">
        <v>2014</v>
      </c>
      <c r="B621" s="11" t="s">
        <v>483</v>
      </c>
      <c r="C621" s="11" t="s">
        <v>484</v>
      </c>
      <c r="D621" s="12">
        <v>1015042</v>
      </c>
      <c r="E621" s="12">
        <v>2</v>
      </c>
      <c r="F621" s="12"/>
      <c r="G621" s="12">
        <v>120</v>
      </c>
      <c r="H621" s="12">
        <v>2</v>
      </c>
      <c r="I621" s="12" t="s">
        <v>485</v>
      </c>
      <c r="J621" s="12" t="s">
        <v>19</v>
      </c>
      <c r="K621" s="12" t="b">
        <v>0</v>
      </c>
      <c r="L621" s="12">
        <v>1</v>
      </c>
      <c r="M621" s="8">
        <v>2015</v>
      </c>
      <c r="N621" s="9">
        <v>10779094.59</v>
      </c>
      <c r="O621" s="9">
        <v>9050022.6400000006</v>
      </c>
      <c r="P621" s="9">
        <v>10587520.99</v>
      </c>
      <c r="Q621" s="9">
        <v>9708899.1999999993</v>
      </c>
      <c r="R621" s="13">
        <v>41815</v>
      </c>
      <c r="S621" s="13">
        <v>41815</v>
      </c>
    </row>
    <row r="622" spans="1:19">
      <c r="A622" s="10">
        <v>2014</v>
      </c>
      <c r="B622" s="11" t="s">
        <v>483</v>
      </c>
      <c r="C622" s="11" t="s">
        <v>484</v>
      </c>
      <c r="D622" s="12">
        <v>1015042</v>
      </c>
      <c r="E622" s="12">
        <v>2</v>
      </c>
      <c r="F622" s="12"/>
      <c r="G622" s="12">
        <v>120</v>
      </c>
      <c r="H622" s="12">
        <v>2</v>
      </c>
      <c r="I622" s="12" t="s">
        <v>485</v>
      </c>
      <c r="J622" s="12" t="s">
        <v>19</v>
      </c>
      <c r="K622" s="12" t="b">
        <v>0</v>
      </c>
      <c r="L622" s="12">
        <v>7</v>
      </c>
      <c r="M622" s="8">
        <v>2021</v>
      </c>
      <c r="N622" s="9">
        <v>10779094.59</v>
      </c>
      <c r="O622" s="9">
        <v>9050022.6400000006</v>
      </c>
      <c r="P622" s="9">
        <v>10587520.99</v>
      </c>
      <c r="Q622" s="9">
        <v>9708899.1999999993</v>
      </c>
      <c r="R622" s="13">
        <v>41815</v>
      </c>
      <c r="S622" s="13">
        <v>41815</v>
      </c>
    </row>
    <row r="623" spans="1:19">
      <c r="A623" s="10">
        <v>2014</v>
      </c>
      <c r="B623" s="11" t="s">
        <v>483</v>
      </c>
      <c r="C623" s="11" t="s">
        <v>484</v>
      </c>
      <c r="D623" s="12">
        <v>1015042</v>
      </c>
      <c r="E623" s="12">
        <v>2</v>
      </c>
      <c r="F623" s="12"/>
      <c r="G623" s="12">
        <v>120</v>
      </c>
      <c r="H623" s="12">
        <v>2</v>
      </c>
      <c r="I623" s="12" t="s">
        <v>485</v>
      </c>
      <c r="J623" s="12" t="s">
        <v>19</v>
      </c>
      <c r="K623" s="12" t="b">
        <v>0</v>
      </c>
      <c r="L623" s="12">
        <v>5</v>
      </c>
      <c r="M623" s="8">
        <v>2019</v>
      </c>
      <c r="N623" s="9">
        <v>10779094.59</v>
      </c>
      <c r="O623" s="9">
        <v>9050022.6400000006</v>
      </c>
      <c r="P623" s="9">
        <v>10587520.99</v>
      </c>
      <c r="Q623" s="9">
        <v>9708899.1999999993</v>
      </c>
      <c r="R623" s="13">
        <v>41815</v>
      </c>
      <c r="S623" s="13">
        <v>41815</v>
      </c>
    </row>
    <row r="624" spans="1:19">
      <c r="A624" s="10">
        <v>2014</v>
      </c>
      <c r="B624" s="11" t="s">
        <v>483</v>
      </c>
      <c r="C624" s="11" t="s">
        <v>484</v>
      </c>
      <c r="D624" s="12">
        <v>1015042</v>
      </c>
      <c r="E624" s="12">
        <v>2</v>
      </c>
      <c r="F624" s="12"/>
      <c r="G624" s="12">
        <v>530</v>
      </c>
      <c r="H624" s="12">
        <v>9.6999999999999993</v>
      </c>
      <c r="I624" s="12" t="s">
        <v>391</v>
      </c>
      <c r="J624" s="12" t="s">
        <v>392</v>
      </c>
      <c r="K624" s="12" t="b">
        <v>0</v>
      </c>
      <c r="L624" s="12">
        <v>3</v>
      </c>
      <c r="M624" s="8">
        <v>2017</v>
      </c>
      <c r="N624" s="9">
        <v>1.34E-2</v>
      </c>
      <c r="O624" s="9">
        <v>7.4300000000000005E-2</v>
      </c>
      <c r="P624" s="9">
        <v>4.7300000000000002E-2</v>
      </c>
      <c r="Q624" s="9">
        <v>4.48E-2</v>
      </c>
      <c r="R624" s="13">
        <v>41815</v>
      </c>
      <c r="S624" s="13">
        <v>41815</v>
      </c>
    </row>
    <row r="625" spans="1:19">
      <c r="A625" s="10">
        <v>2014</v>
      </c>
      <c r="B625" s="11" t="s">
        <v>483</v>
      </c>
      <c r="C625" s="11" t="s">
        <v>484</v>
      </c>
      <c r="D625" s="12">
        <v>1015042</v>
      </c>
      <c r="E625" s="12">
        <v>2</v>
      </c>
      <c r="F625" s="12"/>
      <c r="G625" s="12">
        <v>530</v>
      </c>
      <c r="H625" s="12">
        <v>9.6999999999999993</v>
      </c>
      <c r="I625" s="12" t="s">
        <v>391</v>
      </c>
      <c r="J625" s="12" t="s">
        <v>392</v>
      </c>
      <c r="K625" s="12" t="b">
        <v>0</v>
      </c>
      <c r="L625" s="12">
        <v>4</v>
      </c>
      <c r="M625" s="8">
        <v>2018</v>
      </c>
      <c r="N625" s="9">
        <v>1.34E-2</v>
      </c>
      <c r="O625" s="9">
        <v>7.4300000000000005E-2</v>
      </c>
      <c r="P625" s="9">
        <v>4.7300000000000002E-2</v>
      </c>
      <c r="Q625" s="9">
        <v>4.48E-2</v>
      </c>
      <c r="R625" s="13">
        <v>41815</v>
      </c>
      <c r="S625" s="13">
        <v>41815</v>
      </c>
    </row>
    <row r="626" spans="1:19">
      <c r="A626" s="10">
        <v>2014</v>
      </c>
      <c r="B626" s="11" t="s">
        <v>483</v>
      </c>
      <c r="C626" s="11" t="s">
        <v>484</v>
      </c>
      <c r="D626" s="12">
        <v>1015042</v>
      </c>
      <c r="E626" s="12">
        <v>2</v>
      </c>
      <c r="F626" s="12"/>
      <c r="G626" s="12">
        <v>530</v>
      </c>
      <c r="H626" s="12">
        <v>9.6999999999999993</v>
      </c>
      <c r="I626" s="12" t="s">
        <v>391</v>
      </c>
      <c r="J626" s="12" t="s">
        <v>392</v>
      </c>
      <c r="K626" s="12" t="b">
        <v>0</v>
      </c>
      <c r="L626" s="12">
        <v>7</v>
      </c>
      <c r="M626" s="8">
        <v>2021</v>
      </c>
      <c r="N626" s="9">
        <v>1.34E-2</v>
      </c>
      <c r="O626" s="9">
        <v>7.4300000000000005E-2</v>
      </c>
      <c r="P626" s="9">
        <v>4.7300000000000002E-2</v>
      </c>
      <c r="Q626" s="9">
        <v>4.48E-2</v>
      </c>
      <c r="R626" s="13">
        <v>41815</v>
      </c>
      <c r="S626" s="13">
        <v>41815</v>
      </c>
    </row>
    <row r="627" spans="1:19">
      <c r="A627" s="10">
        <v>2014</v>
      </c>
      <c r="B627" s="11" t="s">
        <v>483</v>
      </c>
      <c r="C627" s="11" t="s">
        <v>484</v>
      </c>
      <c r="D627" s="12">
        <v>1015042</v>
      </c>
      <c r="E627" s="12">
        <v>2</v>
      </c>
      <c r="F627" s="12"/>
      <c r="G627" s="12">
        <v>530</v>
      </c>
      <c r="H627" s="12">
        <v>9.6999999999999993</v>
      </c>
      <c r="I627" s="12" t="s">
        <v>391</v>
      </c>
      <c r="J627" s="12" t="s">
        <v>392</v>
      </c>
      <c r="K627" s="12" t="b">
        <v>0</v>
      </c>
      <c r="L627" s="12">
        <v>2</v>
      </c>
      <c r="M627" s="8">
        <v>2016</v>
      </c>
      <c r="N627" s="9">
        <v>1.34E-2</v>
      </c>
      <c r="O627" s="9">
        <v>7.4300000000000005E-2</v>
      </c>
      <c r="P627" s="9">
        <v>4.7300000000000002E-2</v>
      </c>
      <c r="Q627" s="9">
        <v>4.48E-2</v>
      </c>
      <c r="R627" s="13">
        <v>41815</v>
      </c>
      <c r="S627" s="13">
        <v>41815</v>
      </c>
    </row>
    <row r="628" spans="1:19">
      <c r="A628" s="10">
        <v>2014</v>
      </c>
      <c r="B628" s="11" t="s">
        <v>483</v>
      </c>
      <c r="C628" s="11" t="s">
        <v>484</v>
      </c>
      <c r="D628" s="12">
        <v>1015042</v>
      </c>
      <c r="E628" s="12">
        <v>2</v>
      </c>
      <c r="F628" s="12"/>
      <c r="G628" s="12">
        <v>530</v>
      </c>
      <c r="H628" s="12">
        <v>9.6999999999999993</v>
      </c>
      <c r="I628" s="12" t="s">
        <v>391</v>
      </c>
      <c r="J628" s="12" t="s">
        <v>392</v>
      </c>
      <c r="K628" s="12" t="b">
        <v>0</v>
      </c>
      <c r="L628" s="12">
        <v>1</v>
      </c>
      <c r="M628" s="8">
        <v>2015</v>
      </c>
      <c r="N628" s="9">
        <v>1.34E-2</v>
      </c>
      <c r="O628" s="9">
        <v>7.4300000000000005E-2</v>
      </c>
      <c r="P628" s="9">
        <v>4.7300000000000002E-2</v>
      </c>
      <c r="Q628" s="9">
        <v>4.48E-2</v>
      </c>
      <c r="R628" s="13">
        <v>41815</v>
      </c>
      <c r="S628" s="13">
        <v>41815</v>
      </c>
    </row>
    <row r="629" spans="1:19">
      <c r="A629" s="10">
        <v>2014</v>
      </c>
      <c r="B629" s="11" t="s">
        <v>483</v>
      </c>
      <c r="C629" s="11" t="s">
        <v>484</v>
      </c>
      <c r="D629" s="12">
        <v>1015042</v>
      </c>
      <c r="E629" s="12">
        <v>2</v>
      </c>
      <c r="F629" s="12"/>
      <c r="G629" s="12">
        <v>530</v>
      </c>
      <c r="H629" s="12">
        <v>9.6999999999999993</v>
      </c>
      <c r="I629" s="12" t="s">
        <v>391</v>
      </c>
      <c r="J629" s="12" t="s">
        <v>392</v>
      </c>
      <c r="K629" s="12" t="b">
        <v>0</v>
      </c>
      <c r="L629" s="12">
        <v>8</v>
      </c>
      <c r="M629" s="8">
        <v>2022</v>
      </c>
      <c r="N629" s="9">
        <v>1.34E-2</v>
      </c>
      <c r="O629" s="9">
        <v>7.4300000000000005E-2</v>
      </c>
      <c r="P629" s="9">
        <v>4.7300000000000002E-2</v>
      </c>
      <c r="Q629" s="9">
        <v>4.48E-2</v>
      </c>
      <c r="R629" s="13">
        <v>41815</v>
      </c>
      <c r="S629" s="13">
        <v>41815</v>
      </c>
    </row>
    <row r="630" spans="1:19">
      <c r="A630" s="10">
        <v>2014</v>
      </c>
      <c r="B630" s="11" t="s">
        <v>483</v>
      </c>
      <c r="C630" s="11" t="s">
        <v>484</v>
      </c>
      <c r="D630" s="12">
        <v>1015042</v>
      </c>
      <c r="E630" s="12">
        <v>2</v>
      </c>
      <c r="F630" s="12"/>
      <c r="G630" s="12">
        <v>530</v>
      </c>
      <c r="H630" s="12">
        <v>9.6999999999999993</v>
      </c>
      <c r="I630" s="12" t="s">
        <v>391</v>
      </c>
      <c r="J630" s="12" t="s">
        <v>392</v>
      </c>
      <c r="K630" s="12" t="b">
        <v>0</v>
      </c>
      <c r="L630" s="12">
        <v>6</v>
      </c>
      <c r="M630" s="8">
        <v>2020</v>
      </c>
      <c r="N630" s="9">
        <v>1.34E-2</v>
      </c>
      <c r="O630" s="9">
        <v>7.4300000000000005E-2</v>
      </c>
      <c r="P630" s="9">
        <v>4.7300000000000002E-2</v>
      </c>
      <c r="Q630" s="9">
        <v>4.48E-2</v>
      </c>
      <c r="R630" s="13">
        <v>41815</v>
      </c>
      <c r="S630" s="13">
        <v>41815</v>
      </c>
    </row>
    <row r="631" spans="1:19">
      <c r="A631" s="10">
        <v>2014</v>
      </c>
      <c r="B631" s="11" t="s">
        <v>483</v>
      </c>
      <c r="C631" s="11" t="s">
        <v>484</v>
      </c>
      <c r="D631" s="12">
        <v>1015042</v>
      </c>
      <c r="E631" s="12">
        <v>2</v>
      </c>
      <c r="F631" s="12"/>
      <c r="G631" s="12">
        <v>530</v>
      </c>
      <c r="H631" s="12">
        <v>9.6999999999999993</v>
      </c>
      <c r="I631" s="12" t="s">
        <v>391</v>
      </c>
      <c r="J631" s="12" t="s">
        <v>392</v>
      </c>
      <c r="K631" s="12" t="b">
        <v>0</v>
      </c>
      <c r="L631" s="12">
        <v>5</v>
      </c>
      <c r="M631" s="8">
        <v>2019</v>
      </c>
      <c r="N631" s="9">
        <v>1.34E-2</v>
      </c>
      <c r="O631" s="9">
        <v>7.4300000000000005E-2</v>
      </c>
      <c r="P631" s="9">
        <v>4.7300000000000002E-2</v>
      </c>
      <c r="Q631" s="9">
        <v>4.48E-2</v>
      </c>
      <c r="R631" s="13">
        <v>41815</v>
      </c>
      <c r="S631" s="13">
        <v>41815</v>
      </c>
    </row>
    <row r="632" spans="1:19">
      <c r="A632" s="10">
        <v>2014</v>
      </c>
      <c r="B632" s="11" t="s">
        <v>483</v>
      </c>
      <c r="C632" s="11" t="s">
        <v>484</v>
      </c>
      <c r="D632" s="12">
        <v>1015042</v>
      </c>
      <c r="E632" s="12">
        <v>2</v>
      </c>
      <c r="F632" s="12"/>
      <c r="G632" s="12">
        <v>768</v>
      </c>
      <c r="H632" s="12" t="s">
        <v>406</v>
      </c>
      <c r="I632" s="12"/>
      <c r="J632" s="12" t="s">
        <v>400</v>
      </c>
      <c r="K632" s="12" t="b">
        <v>1</v>
      </c>
      <c r="L632" s="12">
        <v>6</v>
      </c>
      <c r="M632" s="8">
        <v>2020</v>
      </c>
      <c r="N632" s="9">
        <v>0</v>
      </c>
      <c r="O632" s="9">
        <v>0</v>
      </c>
      <c r="P632" s="9">
        <v>0</v>
      </c>
      <c r="Q632" s="9">
        <v>800000</v>
      </c>
      <c r="R632" s="13">
        <v>41815</v>
      </c>
      <c r="S632" s="13">
        <v>41815</v>
      </c>
    </row>
    <row r="633" spans="1:19">
      <c r="A633" s="10">
        <v>2014</v>
      </c>
      <c r="B633" s="11" t="s">
        <v>483</v>
      </c>
      <c r="C633" s="11" t="s">
        <v>484</v>
      </c>
      <c r="D633" s="12">
        <v>1015042</v>
      </c>
      <c r="E633" s="12">
        <v>2</v>
      </c>
      <c r="F633" s="12"/>
      <c r="G633" s="12">
        <v>530</v>
      </c>
      <c r="H633" s="12">
        <v>9.6999999999999993</v>
      </c>
      <c r="I633" s="12" t="s">
        <v>391</v>
      </c>
      <c r="J633" s="12" t="s">
        <v>392</v>
      </c>
      <c r="K633" s="12" t="b">
        <v>0</v>
      </c>
      <c r="L633" s="12">
        <v>0</v>
      </c>
      <c r="M633" s="8">
        <v>2014</v>
      </c>
      <c r="N633" s="9">
        <v>1.34E-2</v>
      </c>
      <c r="O633" s="9">
        <v>7.4300000000000005E-2</v>
      </c>
      <c r="P633" s="9">
        <v>4.7300000000000002E-2</v>
      </c>
      <c r="Q633" s="9">
        <v>4.48E-2</v>
      </c>
      <c r="R633" s="13">
        <v>41815</v>
      </c>
      <c r="S633" s="13">
        <v>41815</v>
      </c>
    </row>
    <row r="634" spans="1:19">
      <c r="A634" s="10">
        <v>2014</v>
      </c>
      <c r="B634" s="11" t="s">
        <v>483</v>
      </c>
      <c r="C634" s="11" t="s">
        <v>484</v>
      </c>
      <c r="D634" s="12">
        <v>1015042</v>
      </c>
      <c r="E634" s="12">
        <v>2</v>
      </c>
      <c r="F634" s="12"/>
      <c r="G634" s="12">
        <v>830</v>
      </c>
      <c r="H634" s="12">
        <v>13.4</v>
      </c>
      <c r="I634" s="12"/>
      <c r="J634" s="12" t="s">
        <v>122</v>
      </c>
      <c r="K634" s="12" t="b">
        <v>1</v>
      </c>
      <c r="L634" s="12">
        <v>7</v>
      </c>
      <c r="M634" s="8">
        <v>2021</v>
      </c>
      <c r="N634" s="9">
        <v>0</v>
      </c>
      <c r="O634" s="9">
        <v>0</v>
      </c>
      <c r="P634" s="9">
        <v>0</v>
      </c>
      <c r="Q634" s="9">
        <v>0</v>
      </c>
      <c r="R634" s="13">
        <v>41815</v>
      </c>
      <c r="S634" s="13">
        <v>41815</v>
      </c>
    </row>
    <row r="635" spans="1:19">
      <c r="A635" s="10">
        <v>2014</v>
      </c>
      <c r="B635" s="11" t="s">
        <v>483</v>
      </c>
      <c r="C635" s="11" t="s">
        <v>484</v>
      </c>
      <c r="D635" s="12">
        <v>1015042</v>
      </c>
      <c r="E635" s="12">
        <v>2</v>
      </c>
      <c r="F635" s="12"/>
      <c r="G635" s="12">
        <v>830</v>
      </c>
      <c r="H635" s="12">
        <v>13.4</v>
      </c>
      <c r="I635" s="12"/>
      <c r="J635" s="12" t="s">
        <v>122</v>
      </c>
      <c r="K635" s="12" t="b">
        <v>1</v>
      </c>
      <c r="L635" s="12">
        <v>3</v>
      </c>
      <c r="M635" s="8">
        <v>2017</v>
      </c>
      <c r="N635" s="9">
        <v>0</v>
      </c>
      <c r="O635" s="9">
        <v>0</v>
      </c>
      <c r="P635" s="9">
        <v>0</v>
      </c>
      <c r="Q635" s="9">
        <v>0</v>
      </c>
      <c r="R635" s="13">
        <v>41815</v>
      </c>
      <c r="S635" s="13">
        <v>41815</v>
      </c>
    </row>
    <row r="636" spans="1:19">
      <c r="A636" s="10">
        <v>2014</v>
      </c>
      <c r="B636" s="11" t="s">
        <v>483</v>
      </c>
      <c r="C636" s="11" t="s">
        <v>484</v>
      </c>
      <c r="D636" s="12">
        <v>1015042</v>
      </c>
      <c r="E636" s="12">
        <v>2</v>
      </c>
      <c r="F636" s="12"/>
      <c r="G636" s="12">
        <v>830</v>
      </c>
      <c r="H636" s="12">
        <v>13.4</v>
      </c>
      <c r="I636" s="12"/>
      <c r="J636" s="12" t="s">
        <v>122</v>
      </c>
      <c r="K636" s="12" t="b">
        <v>1</v>
      </c>
      <c r="L636" s="12">
        <v>0</v>
      </c>
      <c r="M636" s="8">
        <v>2014</v>
      </c>
      <c r="N636" s="9">
        <v>0</v>
      </c>
      <c r="O636" s="9">
        <v>0</v>
      </c>
      <c r="P636" s="9">
        <v>0</v>
      </c>
      <c r="Q636" s="9">
        <v>0</v>
      </c>
      <c r="R636" s="13">
        <v>41815</v>
      </c>
      <c r="S636" s="13">
        <v>41815</v>
      </c>
    </row>
    <row r="637" spans="1:19">
      <c r="A637" s="10">
        <v>2014</v>
      </c>
      <c r="B637" s="11" t="s">
        <v>483</v>
      </c>
      <c r="C637" s="11" t="s">
        <v>484</v>
      </c>
      <c r="D637" s="12">
        <v>1015042</v>
      </c>
      <c r="E637" s="12">
        <v>2</v>
      </c>
      <c r="F637" s="12"/>
      <c r="G637" s="12">
        <v>830</v>
      </c>
      <c r="H637" s="12">
        <v>13.4</v>
      </c>
      <c r="I637" s="12"/>
      <c r="J637" s="12" t="s">
        <v>122</v>
      </c>
      <c r="K637" s="12" t="b">
        <v>1</v>
      </c>
      <c r="L637" s="12">
        <v>6</v>
      </c>
      <c r="M637" s="8">
        <v>2020</v>
      </c>
      <c r="N637" s="9">
        <v>0</v>
      </c>
      <c r="O637" s="9">
        <v>0</v>
      </c>
      <c r="P637" s="9">
        <v>0</v>
      </c>
      <c r="Q637" s="9">
        <v>0</v>
      </c>
      <c r="R637" s="13">
        <v>41815</v>
      </c>
      <c r="S637" s="13">
        <v>41815</v>
      </c>
    </row>
    <row r="638" spans="1:19">
      <c r="A638" s="10">
        <v>2014</v>
      </c>
      <c r="B638" s="11" t="s">
        <v>483</v>
      </c>
      <c r="C638" s="11" t="s">
        <v>484</v>
      </c>
      <c r="D638" s="12">
        <v>1015042</v>
      </c>
      <c r="E638" s="12">
        <v>2</v>
      </c>
      <c r="F638" s="12"/>
      <c r="G638" s="12">
        <v>830</v>
      </c>
      <c r="H638" s="12">
        <v>13.4</v>
      </c>
      <c r="I638" s="12"/>
      <c r="J638" s="12" t="s">
        <v>122</v>
      </c>
      <c r="K638" s="12" t="b">
        <v>1</v>
      </c>
      <c r="L638" s="12">
        <v>4</v>
      </c>
      <c r="M638" s="8">
        <v>2018</v>
      </c>
      <c r="N638" s="9">
        <v>0</v>
      </c>
      <c r="O638" s="9">
        <v>0</v>
      </c>
      <c r="P638" s="9">
        <v>0</v>
      </c>
      <c r="Q638" s="9">
        <v>0</v>
      </c>
      <c r="R638" s="13">
        <v>41815</v>
      </c>
      <c r="S638" s="13">
        <v>41815</v>
      </c>
    </row>
    <row r="639" spans="1:19">
      <c r="A639" s="10">
        <v>2014</v>
      </c>
      <c r="B639" s="11" t="s">
        <v>483</v>
      </c>
      <c r="C639" s="11" t="s">
        <v>484</v>
      </c>
      <c r="D639" s="12">
        <v>1015042</v>
      </c>
      <c r="E639" s="12">
        <v>2</v>
      </c>
      <c r="F639" s="12"/>
      <c r="G639" s="12">
        <v>830</v>
      </c>
      <c r="H639" s="12">
        <v>13.4</v>
      </c>
      <c r="I639" s="12"/>
      <c r="J639" s="12" t="s">
        <v>122</v>
      </c>
      <c r="K639" s="12" t="b">
        <v>1</v>
      </c>
      <c r="L639" s="12">
        <v>2</v>
      </c>
      <c r="M639" s="8">
        <v>2016</v>
      </c>
      <c r="N639" s="9">
        <v>0</v>
      </c>
      <c r="O639" s="9">
        <v>0</v>
      </c>
      <c r="P639" s="9">
        <v>0</v>
      </c>
      <c r="Q639" s="9">
        <v>0</v>
      </c>
      <c r="R639" s="13">
        <v>41815</v>
      </c>
      <c r="S639" s="13">
        <v>41815</v>
      </c>
    </row>
    <row r="640" spans="1:19">
      <c r="A640" s="10">
        <v>2014</v>
      </c>
      <c r="B640" s="11" t="s">
        <v>483</v>
      </c>
      <c r="C640" s="11" t="s">
        <v>484</v>
      </c>
      <c r="D640" s="12">
        <v>1015042</v>
      </c>
      <c r="E640" s="12">
        <v>2</v>
      </c>
      <c r="F640" s="12"/>
      <c r="G640" s="12">
        <v>830</v>
      </c>
      <c r="H640" s="12">
        <v>13.4</v>
      </c>
      <c r="I640" s="12"/>
      <c r="J640" s="12" t="s">
        <v>122</v>
      </c>
      <c r="K640" s="12" t="b">
        <v>1</v>
      </c>
      <c r="L640" s="12">
        <v>5</v>
      </c>
      <c r="M640" s="8">
        <v>2019</v>
      </c>
      <c r="N640" s="9">
        <v>0</v>
      </c>
      <c r="O640" s="9">
        <v>0</v>
      </c>
      <c r="P640" s="9">
        <v>0</v>
      </c>
      <c r="Q640" s="9">
        <v>0</v>
      </c>
      <c r="R640" s="13">
        <v>41815</v>
      </c>
      <c r="S640" s="13">
        <v>41815</v>
      </c>
    </row>
    <row r="641" spans="1:19">
      <c r="A641" s="10">
        <v>2014</v>
      </c>
      <c r="B641" s="11" t="s">
        <v>483</v>
      </c>
      <c r="C641" s="11" t="s">
        <v>484</v>
      </c>
      <c r="D641" s="12">
        <v>1015042</v>
      </c>
      <c r="E641" s="12">
        <v>2</v>
      </c>
      <c r="F641" s="12"/>
      <c r="G641" s="12">
        <v>830</v>
      </c>
      <c r="H641" s="12">
        <v>13.4</v>
      </c>
      <c r="I641" s="12"/>
      <c r="J641" s="12" t="s">
        <v>122</v>
      </c>
      <c r="K641" s="12" t="b">
        <v>1</v>
      </c>
      <c r="L641" s="12">
        <v>1</v>
      </c>
      <c r="M641" s="8">
        <v>2015</v>
      </c>
      <c r="N641" s="9">
        <v>0</v>
      </c>
      <c r="O641" s="9">
        <v>0</v>
      </c>
      <c r="P641" s="9">
        <v>0</v>
      </c>
      <c r="Q641" s="9">
        <v>0</v>
      </c>
      <c r="R641" s="13">
        <v>41815</v>
      </c>
      <c r="S641" s="13">
        <v>41815</v>
      </c>
    </row>
    <row r="642" spans="1:19">
      <c r="A642" s="10">
        <v>2014</v>
      </c>
      <c r="B642" s="11" t="s">
        <v>483</v>
      </c>
      <c r="C642" s="11" t="s">
        <v>484</v>
      </c>
      <c r="D642" s="12">
        <v>1015042</v>
      </c>
      <c r="E642" s="12">
        <v>2</v>
      </c>
      <c r="F642" s="12"/>
      <c r="G642" s="12">
        <v>830</v>
      </c>
      <c r="H642" s="12">
        <v>13.4</v>
      </c>
      <c r="I642" s="12"/>
      <c r="J642" s="12" t="s">
        <v>122</v>
      </c>
      <c r="K642" s="12" t="b">
        <v>1</v>
      </c>
      <c r="L642" s="12">
        <v>8</v>
      </c>
      <c r="M642" s="8">
        <v>2022</v>
      </c>
      <c r="N642" s="9">
        <v>0</v>
      </c>
      <c r="O642" s="9">
        <v>0</v>
      </c>
      <c r="P642" s="9">
        <v>0</v>
      </c>
      <c r="Q642" s="9">
        <v>0</v>
      </c>
      <c r="R642" s="13">
        <v>41815</v>
      </c>
      <c r="S642" s="13">
        <v>41815</v>
      </c>
    </row>
    <row r="643" spans="1:19">
      <c r="A643" s="10">
        <v>2014</v>
      </c>
      <c r="B643" s="11" t="s">
        <v>483</v>
      </c>
      <c r="C643" s="11" t="s">
        <v>484</v>
      </c>
      <c r="D643" s="12">
        <v>1015042</v>
      </c>
      <c r="E643" s="12">
        <v>2</v>
      </c>
      <c r="F643" s="12"/>
      <c r="G643" s="12">
        <v>290</v>
      </c>
      <c r="H643" s="12" t="s">
        <v>75</v>
      </c>
      <c r="I643" s="12"/>
      <c r="J643" s="12" t="s">
        <v>71</v>
      </c>
      <c r="K643" s="12" t="b">
        <v>0</v>
      </c>
      <c r="L643" s="12">
        <v>5</v>
      </c>
      <c r="M643" s="8">
        <v>2019</v>
      </c>
      <c r="N643" s="9">
        <v>0</v>
      </c>
      <c r="O643" s="9">
        <v>0</v>
      </c>
      <c r="P643" s="9">
        <v>0</v>
      </c>
      <c r="Q643" s="9">
        <v>0</v>
      </c>
      <c r="R643" s="13">
        <v>41815</v>
      </c>
      <c r="S643" s="13">
        <v>41815</v>
      </c>
    </row>
    <row r="644" spans="1:19">
      <c r="A644" s="10">
        <v>2014</v>
      </c>
      <c r="B644" s="11" t="s">
        <v>483</v>
      </c>
      <c r="C644" s="11" t="s">
        <v>484</v>
      </c>
      <c r="D644" s="12">
        <v>1015042</v>
      </c>
      <c r="E644" s="12">
        <v>2</v>
      </c>
      <c r="F644" s="12"/>
      <c r="G644" s="12">
        <v>290</v>
      </c>
      <c r="H644" s="12" t="s">
        <v>75</v>
      </c>
      <c r="I644" s="12"/>
      <c r="J644" s="12" t="s">
        <v>71</v>
      </c>
      <c r="K644" s="12" t="b">
        <v>0</v>
      </c>
      <c r="L644" s="12">
        <v>1</v>
      </c>
      <c r="M644" s="8">
        <v>2015</v>
      </c>
      <c r="N644" s="9">
        <v>0</v>
      </c>
      <c r="O644" s="9">
        <v>0</v>
      </c>
      <c r="P644" s="9">
        <v>0</v>
      </c>
      <c r="Q644" s="9">
        <v>0</v>
      </c>
      <c r="R644" s="13">
        <v>41815</v>
      </c>
      <c r="S644" s="13">
        <v>41815</v>
      </c>
    </row>
    <row r="645" spans="1:19">
      <c r="A645" s="10">
        <v>2014</v>
      </c>
      <c r="B645" s="11" t="s">
        <v>483</v>
      </c>
      <c r="C645" s="11" t="s">
        <v>484</v>
      </c>
      <c r="D645" s="12">
        <v>1015042</v>
      </c>
      <c r="E645" s="12">
        <v>2</v>
      </c>
      <c r="F645" s="12"/>
      <c r="G645" s="12">
        <v>290</v>
      </c>
      <c r="H645" s="12" t="s">
        <v>75</v>
      </c>
      <c r="I645" s="12"/>
      <c r="J645" s="12" t="s">
        <v>71</v>
      </c>
      <c r="K645" s="12" t="b">
        <v>0</v>
      </c>
      <c r="L645" s="12">
        <v>6</v>
      </c>
      <c r="M645" s="8">
        <v>2020</v>
      </c>
      <c r="N645" s="9">
        <v>0</v>
      </c>
      <c r="O645" s="9">
        <v>0</v>
      </c>
      <c r="P645" s="9">
        <v>0</v>
      </c>
      <c r="Q645" s="9">
        <v>0</v>
      </c>
      <c r="R645" s="13">
        <v>41815</v>
      </c>
      <c r="S645" s="13">
        <v>41815</v>
      </c>
    </row>
    <row r="646" spans="1:19">
      <c r="A646" s="10">
        <v>2014</v>
      </c>
      <c r="B646" s="11" t="s">
        <v>483</v>
      </c>
      <c r="C646" s="11" t="s">
        <v>484</v>
      </c>
      <c r="D646" s="12">
        <v>1015042</v>
      </c>
      <c r="E646" s="12">
        <v>2</v>
      </c>
      <c r="F646" s="12"/>
      <c r="G646" s="12">
        <v>290</v>
      </c>
      <c r="H646" s="12" t="s">
        <v>75</v>
      </c>
      <c r="I646" s="12"/>
      <c r="J646" s="12" t="s">
        <v>71</v>
      </c>
      <c r="K646" s="12" t="b">
        <v>0</v>
      </c>
      <c r="L646" s="12">
        <v>3</v>
      </c>
      <c r="M646" s="8">
        <v>2017</v>
      </c>
      <c r="N646" s="9">
        <v>0</v>
      </c>
      <c r="O646" s="9">
        <v>0</v>
      </c>
      <c r="P646" s="9">
        <v>0</v>
      </c>
      <c r="Q646" s="9">
        <v>0</v>
      </c>
      <c r="R646" s="13">
        <v>41815</v>
      </c>
      <c r="S646" s="13">
        <v>41815</v>
      </c>
    </row>
    <row r="647" spans="1:19">
      <c r="A647" s="10">
        <v>2014</v>
      </c>
      <c r="B647" s="11" t="s">
        <v>483</v>
      </c>
      <c r="C647" s="11" t="s">
        <v>484</v>
      </c>
      <c r="D647" s="12">
        <v>1015042</v>
      </c>
      <c r="E647" s="12">
        <v>2</v>
      </c>
      <c r="F647" s="12"/>
      <c r="G647" s="12">
        <v>290</v>
      </c>
      <c r="H647" s="12" t="s">
        <v>75</v>
      </c>
      <c r="I647" s="12"/>
      <c r="J647" s="12" t="s">
        <v>71</v>
      </c>
      <c r="K647" s="12" t="b">
        <v>0</v>
      </c>
      <c r="L647" s="12">
        <v>0</v>
      </c>
      <c r="M647" s="8">
        <v>2014</v>
      </c>
      <c r="N647" s="9">
        <v>0</v>
      </c>
      <c r="O647" s="9">
        <v>0</v>
      </c>
      <c r="P647" s="9">
        <v>0</v>
      </c>
      <c r="Q647" s="9">
        <v>0</v>
      </c>
      <c r="R647" s="13">
        <v>41815</v>
      </c>
      <c r="S647" s="13">
        <v>41815</v>
      </c>
    </row>
    <row r="648" spans="1:19">
      <c r="A648" s="10">
        <v>2014</v>
      </c>
      <c r="B648" s="11" t="s">
        <v>483</v>
      </c>
      <c r="C648" s="11" t="s">
        <v>484</v>
      </c>
      <c r="D648" s="12">
        <v>1015042</v>
      </c>
      <c r="E648" s="12">
        <v>2</v>
      </c>
      <c r="F648" s="12"/>
      <c r="G648" s="12">
        <v>290</v>
      </c>
      <c r="H648" s="12" t="s">
        <v>75</v>
      </c>
      <c r="I648" s="12"/>
      <c r="J648" s="12" t="s">
        <v>71</v>
      </c>
      <c r="K648" s="12" t="b">
        <v>0</v>
      </c>
      <c r="L648" s="12">
        <v>4</v>
      </c>
      <c r="M648" s="8">
        <v>2018</v>
      </c>
      <c r="N648" s="9">
        <v>0</v>
      </c>
      <c r="O648" s="9">
        <v>0</v>
      </c>
      <c r="P648" s="9">
        <v>0</v>
      </c>
      <c r="Q648" s="9">
        <v>0</v>
      </c>
      <c r="R648" s="13">
        <v>41815</v>
      </c>
      <c r="S648" s="13">
        <v>41815</v>
      </c>
    </row>
    <row r="649" spans="1:19">
      <c r="A649" s="10">
        <v>2014</v>
      </c>
      <c r="B649" s="11" t="s">
        <v>483</v>
      </c>
      <c r="C649" s="11" t="s">
        <v>484</v>
      </c>
      <c r="D649" s="12">
        <v>1015042</v>
      </c>
      <c r="E649" s="12">
        <v>2</v>
      </c>
      <c r="F649" s="12"/>
      <c r="G649" s="12">
        <v>290</v>
      </c>
      <c r="H649" s="12" t="s">
        <v>75</v>
      </c>
      <c r="I649" s="12"/>
      <c r="J649" s="12" t="s">
        <v>71</v>
      </c>
      <c r="K649" s="12" t="b">
        <v>0</v>
      </c>
      <c r="L649" s="12">
        <v>7</v>
      </c>
      <c r="M649" s="8">
        <v>2021</v>
      </c>
      <c r="N649" s="9">
        <v>0</v>
      </c>
      <c r="O649" s="9">
        <v>0</v>
      </c>
      <c r="P649" s="9">
        <v>0</v>
      </c>
      <c r="Q649" s="9">
        <v>0</v>
      </c>
      <c r="R649" s="13">
        <v>41815</v>
      </c>
      <c r="S649" s="13">
        <v>41815</v>
      </c>
    </row>
    <row r="650" spans="1:19">
      <c r="A650" s="10">
        <v>2014</v>
      </c>
      <c r="B650" s="11" t="s">
        <v>483</v>
      </c>
      <c r="C650" s="11" t="s">
        <v>484</v>
      </c>
      <c r="D650" s="12">
        <v>1015042</v>
      </c>
      <c r="E650" s="12">
        <v>2</v>
      </c>
      <c r="F650" s="12"/>
      <c r="G650" s="12">
        <v>290</v>
      </c>
      <c r="H650" s="12" t="s">
        <v>75</v>
      </c>
      <c r="I650" s="12"/>
      <c r="J650" s="12" t="s">
        <v>71</v>
      </c>
      <c r="K650" s="12" t="b">
        <v>0</v>
      </c>
      <c r="L650" s="12">
        <v>2</v>
      </c>
      <c r="M650" s="8">
        <v>2016</v>
      </c>
      <c r="N650" s="9">
        <v>0</v>
      </c>
      <c r="O650" s="9">
        <v>0</v>
      </c>
      <c r="P650" s="9">
        <v>0</v>
      </c>
      <c r="Q650" s="9">
        <v>0</v>
      </c>
      <c r="R650" s="13">
        <v>41815</v>
      </c>
      <c r="S650" s="13">
        <v>41815</v>
      </c>
    </row>
    <row r="651" spans="1:19">
      <c r="A651" s="10">
        <v>2014</v>
      </c>
      <c r="B651" s="11" t="s">
        <v>483</v>
      </c>
      <c r="C651" s="11" t="s">
        <v>484</v>
      </c>
      <c r="D651" s="12">
        <v>1015042</v>
      </c>
      <c r="E651" s="12">
        <v>2</v>
      </c>
      <c r="F651" s="12"/>
      <c r="G651" s="12">
        <v>290</v>
      </c>
      <c r="H651" s="12" t="s">
        <v>75</v>
      </c>
      <c r="I651" s="12"/>
      <c r="J651" s="12" t="s">
        <v>71</v>
      </c>
      <c r="K651" s="12" t="b">
        <v>0</v>
      </c>
      <c r="L651" s="12">
        <v>8</v>
      </c>
      <c r="M651" s="8">
        <v>2022</v>
      </c>
      <c r="N651" s="9">
        <v>0</v>
      </c>
      <c r="O651" s="9">
        <v>0</v>
      </c>
      <c r="P651" s="9">
        <v>0</v>
      </c>
      <c r="Q651" s="9">
        <v>0</v>
      </c>
      <c r="R651" s="13">
        <v>41815</v>
      </c>
      <c r="S651" s="13">
        <v>41815</v>
      </c>
    </row>
    <row r="652" spans="1:19">
      <c r="A652" s="10">
        <v>2014</v>
      </c>
      <c r="B652" s="11" t="s">
        <v>483</v>
      </c>
      <c r="C652" s="11" t="s">
        <v>484</v>
      </c>
      <c r="D652" s="12">
        <v>1015042</v>
      </c>
      <c r="E652" s="12">
        <v>2</v>
      </c>
      <c r="F652" s="12"/>
      <c r="G652" s="12">
        <v>768</v>
      </c>
      <c r="H652" s="12" t="s">
        <v>406</v>
      </c>
      <c r="I652" s="12"/>
      <c r="J652" s="12" t="s">
        <v>400</v>
      </c>
      <c r="K652" s="12" t="b">
        <v>1</v>
      </c>
      <c r="L652" s="12">
        <v>1</v>
      </c>
      <c r="M652" s="8">
        <v>2015</v>
      </c>
      <c r="N652" s="9">
        <v>0</v>
      </c>
      <c r="O652" s="9">
        <v>0</v>
      </c>
      <c r="P652" s="9">
        <v>0</v>
      </c>
      <c r="Q652" s="9">
        <v>800000</v>
      </c>
      <c r="R652" s="13">
        <v>41815</v>
      </c>
      <c r="S652" s="13">
        <v>41815</v>
      </c>
    </row>
    <row r="653" spans="1:19">
      <c r="A653" s="10">
        <v>2014</v>
      </c>
      <c r="B653" s="11" t="s">
        <v>483</v>
      </c>
      <c r="C653" s="11" t="s">
        <v>484</v>
      </c>
      <c r="D653" s="12">
        <v>1015042</v>
      </c>
      <c r="E653" s="12">
        <v>2</v>
      </c>
      <c r="F653" s="12"/>
      <c r="G653" s="12">
        <v>768</v>
      </c>
      <c r="H653" s="12" t="s">
        <v>406</v>
      </c>
      <c r="I653" s="12"/>
      <c r="J653" s="12" t="s">
        <v>400</v>
      </c>
      <c r="K653" s="12" t="b">
        <v>1</v>
      </c>
      <c r="L653" s="12">
        <v>3</v>
      </c>
      <c r="M653" s="8">
        <v>2017</v>
      </c>
      <c r="N653" s="9">
        <v>0</v>
      </c>
      <c r="O653" s="9">
        <v>0</v>
      </c>
      <c r="P653" s="9">
        <v>0</v>
      </c>
      <c r="Q653" s="9">
        <v>800000</v>
      </c>
      <c r="R653" s="13">
        <v>41815</v>
      </c>
      <c r="S653" s="13">
        <v>41815</v>
      </c>
    </row>
    <row r="654" spans="1:19">
      <c r="A654" s="10">
        <v>2014</v>
      </c>
      <c r="B654" s="11" t="s">
        <v>483</v>
      </c>
      <c r="C654" s="11" t="s">
        <v>484</v>
      </c>
      <c r="D654" s="12">
        <v>1015042</v>
      </c>
      <c r="E654" s="12">
        <v>2</v>
      </c>
      <c r="F654" s="12"/>
      <c r="G654" s="12">
        <v>768</v>
      </c>
      <c r="H654" s="12" t="s">
        <v>406</v>
      </c>
      <c r="I654" s="12"/>
      <c r="J654" s="12" t="s">
        <v>400</v>
      </c>
      <c r="K654" s="12" t="b">
        <v>1</v>
      </c>
      <c r="L654" s="12">
        <v>2</v>
      </c>
      <c r="M654" s="8">
        <v>2016</v>
      </c>
      <c r="N654" s="9">
        <v>0</v>
      </c>
      <c r="O654" s="9">
        <v>0</v>
      </c>
      <c r="P654" s="9">
        <v>0</v>
      </c>
      <c r="Q654" s="9">
        <v>800000</v>
      </c>
      <c r="R654" s="13">
        <v>41815</v>
      </c>
      <c r="S654" s="13">
        <v>41815</v>
      </c>
    </row>
    <row r="655" spans="1:19">
      <c r="A655" s="10">
        <v>2014</v>
      </c>
      <c r="B655" s="11" t="s">
        <v>483</v>
      </c>
      <c r="C655" s="11" t="s">
        <v>484</v>
      </c>
      <c r="D655" s="12">
        <v>1015042</v>
      </c>
      <c r="E655" s="12">
        <v>2</v>
      </c>
      <c r="F655" s="12"/>
      <c r="G655" s="12">
        <v>768</v>
      </c>
      <c r="H655" s="12" t="s">
        <v>406</v>
      </c>
      <c r="I655" s="12"/>
      <c r="J655" s="12" t="s">
        <v>400</v>
      </c>
      <c r="K655" s="12" t="b">
        <v>1</v>
      </c>
      <c r="L655" s="12">
        <v>7</v>
      </c>
      <c r="M655" s="8">
        <v>2021</v>
      </c>
      <c r="N655" s="9">
        <v>0</v>
      </c>
      <c r="O655" s="9">
        <v>0</v>
      </c>
      <c r="P655" s="9">
        <v>0</v>
      </c>
      <c r="Q655" s="9">
        <v>800000</v>
      </c>
      <c r="R655" s="13">
        <v>41815</v>
      </c>
      <c r="S655" s="13">
        <v>41815</v>
      </c>
    </row>
    <row r="656" spans="1:19">
      <c r="A656" s="10">
        <v>2014</v>
      </c>
      <c r="B656" s="11" t="s">
        <v>483</v>
      </c>
      <c r="C656" s="11" t="s">
        <v>484</v>
      </c>
      <c r="D656" s="12">
        <v>1015042</v>
      </c>
      <c r="E656" s="12">
        <v>2</v>
      </c>
      <c r="F656" s="12"/>
      <c r="G656" s="12">
        <v>768</v>
      </c>
      <c r="H656" s="12" t="s">
        <v>406</v>
      </c>
      <c r="I656" s="12"/>
      <c r="J656" s="12" t="s">
        <v>400</v>
      </c>
      <c r="K656" s="12" t="b">
        <v>1</v>
      </c>
      <c r="L656" s="12">
        <v>0</v>
      </c>
      <c r="M656" s="8">
        <v>2014</v>
      </c>
      <c r="N656" s="9">
        <v>0</v>
      </c>
      <c r="O656" s="9">
        <v>0</v>
      </c>
      <c r="P656" s="9">
        <v>0</v>
      </c>
      <c r="Q656" s="9">
        <v>800000</v>
      </c>
      <c r="R656" s="13">
        <v>41815</v>
      </c>
      <c r="S656" s="13">
        <v>41815</v>
      </c>
    </row>
    <row r="657" spans="1:19">
      <c r="A657" s="10">
        <v>2014</v>
      </c>
      <c r="B657" s="11" t="s">
        <v>483</v>
      </c>
      <c r="C657" s="11" t="s">
        <v>484</v>
      </c>
      <c r="D657" s="12">
        <v>1015042</v>
      </c>
      <c r="E657" s="12">
        <v>2</v>
      </c>
      <c r="F657" s="12"/>
      <c r="G657" s="12">
        <v>768</v>
      </c>
      <c r="H657" s="12" t="s">
        <v>406</v>
      </c>
      <c r="I657" s="12"/>
      <c r="J657" s="12" t="s">
        <v>400</v>
      </c>
      <c r="K657" s="12" t="b">
        <v>1</v>
      </c>
      <c r="L657" s="12">
        <v>4</v>
      </c>
      <c r="M657" s="8">
        <v>2018</v>
      </c>
      <c r="N657" s="9">
        <v>0</v>
      </c>
      <c r="O657" s="9">
        <v>0</v>
      </c>
      <c r="P657" s="9">
        <v>0</v>
      </c>
      <c r="Q657" s="9">
        <v>800000</v>
      </c>
      <c r="R657" s="13">
        <v>41815</v>
      </c>
      <c r="S657" s="13">
        <v>41815</v>
      </c>
    </row>
    <row r="658" spans="1:19">
      <c r="A658" s="10">
        <v>2014</v>
      </c>
      <c r="B658" s="11" t="s">
        <v>483</v>
      </c>
      <c r="C658" s="11" t="s">
        <v>484</v>
      </c>
      <c r="D658" s="12">
        <v>1015042</v>
      </c>
      <c r="E658" s="12">
        <v>2</v>
      </c>
      <c r="F658" s="12"/>
      <c r="G658" s="12">
        <v>768</v>
      </c>
      <c r="H658" s="12" t="s">
        <v>406</v>
      </c>
      <c r="I658" s="12"/>
      <c r="J658" s="12" t="s">
        <v>400</v>
      </c>
      <c r="K658" s="12" t="b">
        <v>1</v>
      </c>
      <c r="L658" s="12">
        <v>5</v>
      </c>
      <c r="M658" s="8">
        <v>2019</v>
      </c>
      <c r="N658" s="9">
        <v>0</v>
      </c>
      <c r="O658" s="9">
        <v>0</v>
      </c>
      <c r="P658" s="9">
        <v>0</v>
      </c>
      <c r="Q658" s="9">
        <v>800000</v>
      </c>
      <c r="R658" s="13">
        <v>41815</v>
      </c>
      <c r="S658" s="13">
        <v>41815</v>
      </c>
    </row>
    <row r="659" spans="1:19">
      <c r="A659" s="10">
        <v>2014</v>
      </c>
      <c r="B659" s="11" t="s">
        <v>483</v>
      </c>
      <c r="C659" s="11" t="s">
        <v>484</v>
      </c>
      <c r="D659" s="12">
        <v>1015042</v>
      </c>
      <c r="E659" s="12">
        <v>2</v>
      </c>
      <c r="F659" s="12"/>
      <c r="G659" s="12">
        <v>768</v>
      </c>
      <c r="H659" s="12" t="s">
        <v>406</v>
      </c>
      <c r="I659" s="12"/>
      <c r="J659" s="12" t="s">
        <v>400</v>
      </c>
      <c r="K659" s="12" t="b">
        <v>1</v>
      </c>
      <c r="L659" s="12">
        <v>8</v>
      </c>
      <c r="M659" s="8">
        <v>2022</v>
      </c>
      <c r="N659" s="9">
        <v>0</v>
      </c>
      <c r="O659" s="9">
        <v>0</v>
      </c>
      <c r="P659" s="9">
        <v>0</v>
      </c>
      <c r="Q659" s="9">
        <v>800000</v>
      </c>
      <c r="R659" s="13">
        <v>41815</v>
      </c>
      <c r="S659" s="13">
        <v>41815</v>
      </c>
    </row>
    <row r="660" spans="1:19">
      <c r="A660" s="10">
        <v>2014</v>
      </c>
      <c r="B660" s="11" t="s">
        <v>483</v>
      </c>
      <c r="C660" s="11" t="s">
        <v>484</v>
      </c>
      <c r="D660" s="12">
        <v>1015042</v>
      </c>
      <c r="E660" s="12">
        <v>2</v>
      </c>
      <c r="F660" s="12"/>
      <c r="G660" s="12">
        <v>764</v>
      </c>
      <c r="H660" s="12" t="s">
        <v>399</v>
      </c>
      <c r="I660" s="12"/>
      <c r="J660" s="12" t="s">
        <v>400</v>
      </c>
      <c r="K660" s="12" t="b">
        <v>1</v>
      </c>
      <c r="L660" s="12">
        <v>7</v>
      </c>
      <c r="M660" s="8">
        <v>2021</v>
      </c>
      <c r="N660" s="9">
        <v>0</v>
      </c>
      <c r="O660" s="9">
        <v>0</v>
      </c>
      <c r="P660" s="9">
        <v>834069</v>
      </c>
      <c r="Q660" s="9">
        <v>847248.02</v>
      </c>
      <c r="R660" s="13">
        <v>41815</v>
      </c>
      <c r="S660" s="13">
        <v>41815</v>
      </c>
    </row>
    <row r="661" spans="1:19">
      <c r="A661" s="10">
        <v>2014</v>
      </c>
      <c r="B661" s="11" t="s">
        <v>483</v>
      </c>
      <c r="C661" s="11" t="s">
        <v>484</v>
      </c>
      <c r="D661" s="12">
        <v>1015042</v>
      </c>
      <c r="E661" s="12">
        <v>2</v>
      </c>
      <c r="F661" s="12"/>
      <c r="G661" s="12">
        <v>764</v>
      </c>
      <c r="H661" s="12" t="s">
        <v>399</v>
      </c>
      <c r="I661" s="12"/>
      <c r="J661" s="12" t="s">
        <v>400</v>
      </c>
      <c r="K661" s="12" t="b">
        <v>1</v>
      </c>
      <c r="L661" s="12">
        <v>6</v>
      </c>
      <c r="M661" s="8">
        <v>2020</v>
      </c>
      <c r="N661" s="9">
        <v>0</v>
      </c>
      <c r="O661" s="9">
        <v>0</v>
      </c>
      <c r="P661" s="9">
        <v>834069</v>
      </c>
      <c r="Q661" s="9">
        <v>847248.02</v>
      </c>
      <c r="R661" s="13">
        <v>41815</v>
      </c>
      <c r="S661" s="13">
        <v>41815</v>
      </c>
    </row>
    <row r="662" spans="1:19">
      <c r="A662" s="10">
        <v>2014</v>
      </c>
      <c r="B662" s="11" t="s">
        <v>483</v>
      </c>
      <c r="C662" s="11" t="s">
        <v>484</v>
      </c>
      <c r="D662" s="12">
        <v>1015042</v>
      </c>
      <c r="E662" s="12">
        <v>2</v>
      </c>
      <c r="F662" s="12"/>
      <c r="G662" s="12">
        <v>764</v>
      </c>
      <c r="H662" s="12" t="s">
        <v>399</v>
      </c>
      <c r="I662" s="12"/>
      <c r="J662" s="12" t="s">
        <v>400</v>
      </c>
      <c r="K662" s="12" t="b">
        <v>1</v>
      </c>
      <c r="L662" s="12">
        <v>8</v>
      </c>
      <c r="M662" s="8">
        <v>2022</v>
      </c>
      <c r="N662" s="9">
        <v>0</v>
      </c>
      <c r="O662" s="9">
        <v>0</v>
      </c>
      <c r="P662" s="9">
        <v>834069</v>
      </c>
      <c r="Q662" s="9">
        <v>847248.02</v>
      </c>
      <c r="R662" s="13">
        <v>41815</v>
      </c>
      <c r="S662" s="13">
        <v>41815</v>
      </c>
    </row>
    <row r="663" spans="1:19">
      <c r="A663" s="10">
        <v>2014</v>
      </c>
      <c r="B663" s="11" t="s">
        <v>483</v>
      </c>
      <c r="C663" s="11" t="s">
        <v>484</v>
      </c>
      <c r="D663" s="12">
        <v>1015042</v>
      </c>
      <c r="E663" s="12">
        <v>2</v>
      </c>
      <c r="F663" s="12"/>
      <c r="G663" s="12">
        <v>764</v>
      </c>
      <c r="H663" s="12" t="s">
        <v>399</v>
      </c>
      <c r="I663" s="12"/>
      <c r="J663" s="12" t="s">
        <v>400</v>
      </c>
      <c r="K663" s="12" t="b">
        <v>1</v>
      </c>
      <c r="L663" s="12">
        <v>0</v>
      </c>
      <c r="M663" s="8">
        <v>2014</v>
      </c>
      <c r="N663" s="9">
        <v>0</v>
      </c>
      <c r="O663" s="9">
        <v>0</v>
      </c>
      <c r="P663" s="9">
        <v>834069</v>
      </c>
      <c r="Q663" s="9">
        <v>847248.02</v>
      </c>
      <c r="R663" s="13">
        <v>41815</v>
      </c>
      <c r="S663" s="13">
        <v>41815</v>
      </c>
    </row>
    <row r="664" spans="1:19">
      <c r="A664" s="10">
        <v>2014</v>
      </c>
      <c r="B664" s="11" t="s">
        <v>483</v>
      </c>
      <c r="C664" s="11" t="s">
        <v>484</v>
      </c>
      <c r="D664" s="12">
        <v>1015042</v>
      </c>
      <c r="E664" s="12">
        <v>2</v>
      </c>
      <c r="F664" s="12"/>
      <c r="G664" s="12">
        <v>764</v>
      </c>
      <c r="H664" s="12" t="s">
        <v>399</v>
      </c>
      <c r="I664" s="12"/>
      <c r="J664" s="12" t="s">
        <v>400</v>
      </c>
      <c r="K664" s="12" t="b">
        <v>1</v>
      </c>
      <c r="L664" s="12">
        <v>1</v>
      </c>
      <c r="M664" s="8">
        <v>2015</v>
      </c>
      <c r="N664" s="9">
        <v>0</v>
      </c>
      <c r="O664" s="9">
        <v>0</v>
      </c>
      <c r="P664" s="9">
        <v>834069</v>
      </c>
      <c r="Q664" s="9">
        <v>847248.02</v>
      </c>
      <c r="R664" s="13">
        <v>41815</v>
      </c>
      <c r="S664" s="13">
        <v>41815</v>
      </c>
    </row>
    <row r="665" spans="1:19">
      <c r="A665" s="10">
        <v>2014</v>
      </c>
      <c r="B665" s="11" t="s">
        <v>483</v>
      </c>
      <c r="C665" s="11" t="s">
        <v>484</v>
      </c>
      <c r="D665" s="12">
        <v>1015042</v>
      </c>
      <c r="E665" s="12">
        <v>2</v>
      </c>
      <c r="F665" s="12"/>
      <c r="G665" s="12">
        <v>764</v>
      </c>
      <c r="H665" s="12" t="s">
        <v>399</v>
      </c>
      <c r="I665" s="12"/>
      <c r="J665" s="12" t="s">
        <v>400</v>
      </c>
      <c r="K665" s="12" t="b">
        <v>1</v>
      </c>
      <c r="L665" s="12">
        <v>2</v>
      </c>
      <c r="M665" s="8">
        <v>2016</v>
      </c>
      <c r="N665" s="9">
        <v>0</v>
      </c>
      <c r="O665" s="9">
        <v>0</v>
      </c>
      <c r="P665" s="9">
        <v>834069</v>
      </c>
      <c r="Q665" s="9">
        <v>847248.02</v>
      </c>
      <c r="R665" s="13">
        <v>41815</v>
      </c>
      <c r="S665" s="13">
        <v>41815</v>
      </c>
    </row>
    <row r="666" spans="1:19">
      <c r="A666" s="10">
        <v>2014</v>
      </c>
      <c r="B666" s="11" t="s">
        <v>483</v>
      </c>
      <c r="C666" s="11" t="s">
        <v>484</v>
      </c>
      <c r="D666" s="12">
        <v>1015042</v>
      </c>
      <c r="E666" s="12">
        <v>2</v>
      </c>
      <c r="F666" s="12"/>
      <c r="G666" s="12">
        <v>764</v>
      </c>
      <c r="H666" s="12" t="s">
        <v>399</v>
      </c>
      <c r="I666" s="12"/>
      <c r="J666" s="12" t="s">
        <v>400</v>
      </c>
      <c r="K666" s="12" t="b">
        <v>1</v>
      </c>
      <c r="L666" s="12">
        <v>4</v>
      </c>
      <c r="M666" s="8">
        <v>2018</v>
      </c>
      <c r="N666" s="9">
        <v>0</v>
      </c>
      <c r="O666" s="9">
        <v>0</v>
      </c>
      <c r="P666" s="9">
        <v>834069</v>
      </c>
      <c r="Q666" s="9">
        <v>847248.02</v>
      </c>
      <c r="R666" s="13">
        <v>41815</v>
      </c>
      <c r="S666" s="13">
        <v>41815</v>
      </c>
    </row>
    <row r="667" spans="1:19">
      <c r="A667" s="10">
        <v>2014</v>
      </c>
      <c r="B667" s="11" t="s">
        <v>483</v>
      </c>
      <c r="C667" s="11" t="s">
        <v>484</v>
      </c>
      <c r="D667" s="12">
        <v>1015042</v>
      </c>
      <c r="E667" s="12">
        <v>2</v>
      </c>
      <c r="F667" s="12"/>
      <c r="G667" s="12">
        <v>764</v>
      </c>
      <c r="H667" s="12" t="s">
        <v>399</v>
      </c>
      <c r="I667" s="12"/>
      <c r="J667" s="12" t="s">
        <v>400</v>
      </c>
      <c r="K667" s="12" t="b">
        <v>1</v>
      </c>
      <c r="L667" s="12">
        <v>5</v>
      </c>
      <c r="M667" s="8">
        <v>2019</v>
      </c>
      <c r="N667" s="9">
        <v>0</v>
      </c>
      <c r="O667" s="9">
        <v>0</v>
      </c>
      <c r="P667" s="9">
        <v>834069</v>
      </c>
      <c r="Q667" s="9">
        <v>847248.02</v>
      </c>
      <c r="R667" s="13">
        <v>41815</v>
      </c>
      <c r="S667" s="13">
        <v>41815</v>
      </c>
    </row>
    <row r="668" spans="1:19">
      <c r="A668" s="10">
        <v>2014</v>
      </c>
      <c r="B668" s="11" t="s">
        <v>483</v>
      </c>
      <c r="C668" s="11" t="s">
        <v>484</v>
      </c>
      <c r="D668" s="12">
        <v>1015042</v>
      </c>
      <c r="E668" s="12">
        <v>2</v>
      </c>
      <c r="F668" s="12"/>
      <c r="G668" s="12">
        <v>764</v>
      </c>
      <c r="H668" s="12" t="s">
        <v>399</v>
      </c>
      <c r="I668" s="12"/>
      <c r="J668" s="12" t="s">
        <v>400</v>
      </c>
      <c r="K668" s="12" t="b">
        <v>1</v>
      </c>
      <c r="L668" s="12">
        <v>3</v>
      </c>
      <c r="M668" s="8">
        <v>2017</v>
      </c>
      <c r="N668" s="9">
        <v>0</v>
      </c>
      <c r="O668" s="9">
        <v>0</v>
      </c>
      <c r="P668" s="9">
        <v>834069</v>
      </c>
      <c r="Q668" s="9">
        <v>847248.02</v>
      </c>
      <c r="R668" s="13">
        <v>41815</v>
      </c>
      <c r="S668" s="13">
        <v>41815</v>
      </c>
    </row>
    <row r="669" spans="1:19">
      <c r="A669" s="10">
        <v>2014</v>
      </c>
      <c r="B669" s="11" t="s">
        <v>483</v>
      </c>
      <c r="C669" s="11" t="s">
        <v>484</v>
      </c>
      <c r="D669" s="12">
        <v>1015042</v>
      </c>
      <c r="E669" s="12">
        <v>2</v>
      </c>
      <c r="F669" s="12"/>
      <c r="G669" s="12">
        <v>60</v>
      </c>
      <c r="H669" s="12" t="s">
        <v>47</v>
      </c>
      <c r="I669" s="12"/>
      <c r="J669" s="12" t="s">
        <v>48</v>
      </c>
      <c r="K669" s="12" t="b">
        <v>1</v>
      </c>
      <c r="L669" s="12">
        <v>4</v>
      </c>
      <c r="M669" s="8">
        <v>2018</v>
      </c>
      <c r="N669" s="9">
        <v>954120.66</v>
      </c>
      <c r="O669" s="9">
        <v>1013463.68</v>
      </c>
      <c r="P669" s="9">
        <v>1057013</v>
      </c>
      <c r="Q669" s="9">
        <v>1098652.7</v>
      </c>
      <c r="R669" s="13">
        <v>41815</v>
      </c>
      <c r="S669" s="13">
        <v>41815</v>
      </c>
    </row>
    <row r="670" spans="1:19">
      <c r="A670" s="10">
        <v>2014</v>
      </c>
      <c r="B670" s="11" t="s">
        <v>483</v>
      </c>
      <c r="C670" s="11" t="s">
        <v>484</v>
      </c>
      <c r="D670" s="12">
        <v>1015042</v>
      </c>
      <c r="E670" s="12">
        <v>2</v>
      </c>
      <c r="F670" s="12"/>
      <c r="G670" s="12">
        <v>60</v>
      </c>
      <c r="H670" s="12" t="s">
        <v>47</v>
      </c>
      <c r="I670" s="12"/>
      <c r="J670" s="12" t="s">
        <v>48</v>
      </c>
      <c r="K670" s="12" t="b">
        <v>1</v>
      </c>
      <c r="L670" s="12">
        <v>6</v>
      </c>
      <c r="M670" s="8">
        <v>2020</v>
      </c>
      <c r="N670" s="9">
        <v>954120.66</v>
      </c>
      <c r="O670" s="9">
        <v>1013463.68</v>
      </c>
      <c r="P670" s="9">
        <v>1057013</v>
      </c>
      <c r="Q670" s="9">
        <v>1098652.7</v>
      </c>
      <c r="R670" s="13">
        <v>41815</v>
      </c>
      <c r="S670" s="13">
        <v>41815</v>
      </c>
    </row>
    <row r="671" spans="1:19">
      <c r="A671" s="10">
        <v>2014</v>
      </c>
      <c r="B671" s="11" t="s">
        <v>483</v>
      </c>
      <c r="C671" s="11" t="s">
        <v>484</v>
      </c>
      <c r="D671" s="12">
        <v>1015042</v>
      </c>
      <c r="E671" s="12">
        <v>2</v>
      </c>
      <c r="F671" s="12"/>
      <c r="G671" s="12">
        <v>60</v>
      </c>
      <c r="H671" s="12" t="s">
        <v>47</v>
      </c>
      <c r="I671" s="12"/>
      <c r="J671" s="12" t="s">
        <v>48</v>
      </c>
      <c r="K671" s="12" t="b">
        <v>1</v>
      </c>
      <c r="L671" s="12">
        <v>5</v>
      </c>
      <c r="M671" s="8">
        <v>2019</v>
      </c>
      <c r="N671" s="9">
        <v>954120.66</v>
      </c>
      <c r="O671" s="9">
        <v>1013463.68</v>
      </c>
      <c r="P671" s="9">
        <v>1057013</v>
      </c>
      <c r="Q671" s="9">
        <v>1098652.7</v>
      </c>
      <c r="R671" s="13">
        <v>41815</v>
      </c>
      <c r="S671" s="13">
        <v>41815</v>
      </c>
    </row>
    <row r="672" spans="1:19">
      <c r="A672" s="10">
        <v>2014</v>
      </c>
      <c r="B672" s="11" t="s">
        <v>483</v>
      </c>
      <c r="C672" s="11" t="s">
        <v>484</v>
      </c>
      <c r="D672" s="12">
        <v>1015042</v>
      </c>
      <c r="E672" s="12">
        <v>2</v>
      </c>
      <c r="F672" s="12"/>
      <c r="G672" s="12">
        <v>60</v>
      </c>
      <c r="H672" s="12" t="s">
        <v>47</v>
      </c>
      <c r="I672" s="12"/>
      <c r="J672" s="12" t="s">
        <v>48</v>
      </c>
      <c r="K672" s="12" t="b">
        <v>1</v>
      </c>
      <c r="L672" s="12">
        <v>3</v>
      </c>
      <c r="M672" s="8">
        <v>2017</v>
      </c>
      <c r="N672" s="9">
        <v>954120.66</v>
      </c>
      <c r="O672" s="9">
        <v>1013463.68</v>
      </c>
      <c r="P672" s="9">
        <v>1057013</v>
      </c>
      <c r="Q672" s="9">
        <v>1098652.7</v>
      </c>
      <c r="R672" s="13">
        <v>41815</v>
      </c>
      <c r="S672" s="13">
        <v>41815</v>
      </c>
    </row>
    <row r="673" spans="1:19">
      <c r="A673" s="10">
        <v>2014</v>
      </c>
      <c r="B673" s="11" t="s">
        <v>483</v>
      </c>
      <c r="C673" s="11" t="s">
        <v>484</v>
      </c>
      <c r="D673" s="12">
        <v>1015042</v>
      </c>
      <c r="E673" s="12">
        <v>2</v>
      </c>
      <c r="F673" s="12"/>
      <c r="G673" s="12">
        <v>60</v>
      </c>
      <c r="H673" s="12" t="s">
        <v>47</v>
      </c>
      <c r="I673" s="12"/>
      <c r="J673" s="12" t="s">
        <v>48</v>
      </c>
      <c r="K673" s="12" t="b">
        <v>1</v>
      </c>
      <c r="L673" s="12">
        <v>7</v>
      </c>
      <c r="M673" s="8">
        <v>2021</v>
      </c>
      <c r="N673" s="9">
        <v>954120.66</v>
      </c>
      <c r="O673" s="9">
        <v>1013463.68</v>
      </c>
      <c r="P673" s="9">
        <v>1057013</v>
      </c>
      <c r="Q673" s="9">
        <v>1098652.7</v>
      </c>
      <c r="R673" s="13">
        <v>41815</v>
      </c>
      <c r="S673" s="13">
        <v>41815</v>
      </c>
    </row>
    <row r="674" spans="1:19">
      <c r="A674" s="10">
        <v>2014</v>
      </c>
      <c r="B674" s="11" t="s">
        <v>483</v>
      </c>
      <c r="C674" s="11" t="s">
        <v>484</v>
      </c>
      <c r="D674" s="12">
        <v>1015042</v>
      </c>
      <c r="E674" s="12">
        <v>2</v>
      </c>
      <c r="F674" s="12"/>
      <c r="G674" s="12">
        <v>60</v>
      </c>
      <c r="H674" s="12" t="s">
        <v>47</v>
      </c>
      <c r="I674" s="12"/>
      <c r="J674" s="12" t="s">
        <v>48</v>
      </c>
      <c r="K674" s="12" t="b">
        <v>1</v>
      </c>
      <c r="L674" s="12">
        <v>1</v>
      </c>
      <c r="M674" s="8">
        <v>2015</v>
      </c>
      <c r="N674" s="9">
        <v>954120.66</v>
      </c>
      <c r="O674" s="9">
        <v>1013463.68</v>
      </c>
      <c r="P674" s="9">
        <v>1057013</v>
      </c>
      <c r="Q674" s="9">
        <v>1098652.7</v>
      </c>
      <c r="R674" s="13">
        <v>41815</v>
      </c>
      <c r="S674" s="13">
        <v>41815</v>
      </c>
    </row>
    <row r="675" spans="1:19">
      <c r="A675" s="10">
        <v>2014</v>
      </c>
      <c r="B675" s="11" t="s">
        <v>483</v>
      </c>
      <c r="C675" s="11" t="s">
        <v>484</v>
      </c>
      <c r="D675" s="12">
        <v>1015042</v>
      </c>
      <c r="E675" s="12">
        <v>2</v>
      </c>
      <c r="F675" s="12"/>
      <c r="G675" s="12">
        <v>60</v>
      </c>
      <c r="H675" s="12" t="s">
        <v>47</v>
      </c>
      <c r="I675" s="12"/>
      <c r="J675" s="12" t="s">
        <v>48</v>
      </c>
      <c r="K675" s="12" t="b">
        <v>1</v>
      </c>
      <c r="L675" s="12">
        <v>0</v>
      </c>
      <c r="M675" s="8">
        <v>2014</v>
      </c>
      <c r="N675" s="9">
        <v>954120.66</v>
      </c>
      <c r="O675" s="9">
        <v>1013463.68</v>
      </c>
      <c r="P675" s="9">
        <v>1057013</v>
      </c>
      <c r="Q675" s="9">
        <v>1098652.7</v>
      </c>
      <c r="R675" s="13">
        <v>41815</v>
      </c>
      <c r="S675" s="13">
        <v>41815</v>
      </c>
    </row>
    <row r="676" spans="1:19">
      <c r="A676" s="10">
        <v>2014</v>
      </c>
      <c r="B676" s="11" t="s">
        <v>483</v>
      </c>
      <c r="C676" s="11" t="s">
        <v>484</v>
      </c>
      <c r="D676" s="12">
        <v>1015042</v>
      </c>
      <c r="E676" s="12">
        <v>2</v>
      </c>
      <c r="F676" s="12"/>
      <c r="G676" s="12">
        <v>60</v>
      </c>
      <c r="H676" s="12" t="s">
        <v>47</v>
      </c>
      <c r="I676" s="12"/>
      <c r="J676" s="12" t="s">
        <v>48</v>
      </c>
      <c r="K676" s="12" t="b">
        <v>1</v>
      </c>
      <c r="L676" s="12">
        <v>2</v>
      </c>
      <c r="M676" s="8">
        <v>2016</v>
      </c>
      <c r="N676" s="9">
        <v>954120.66</v>
      </c>
      <c r="O676" s="9">
        <v>1013463.68</v>
      </c>
      <c r="P676" s="9">
        <v>1057013</v>
      </c>
      <c r="Q676" s="9">
        <v>1098652.7</v>
      </c>
      <c r="R676" s="13">
        <v>41815</v>
      </c>
      <c r="S676" s="13">
        <v>41815</v>
      </c>
    </row>
    <row r="677" spans="1:19">
      <c r="A677" s="10">
        <v>2014</v>
      </c>
      <c r="B677" s="11" t="s">
        <v>483</v>
      </c>
      <c r="C677" s="11" t="s">
        <v>484</v>
      </c>
      <c r="D677" s="12">
        <v>1015042</v>
      </c>
      <c r="E677" s="12">
        <v>2</v>
      </c>
      <c r="F677" s="12"/>
      <c r="G677" s="12">
        <v>60</v>
      </c>
      <c r="H677" s="12" t="s">
        <v>47</v>
      </c>
      <c r="I677" s="12"/>
      <c r="J677" s="12" t="s">
        <v>48</v>
      </c>
      <c r="K677" s="12" t="b">
        <v>1</v>
      </c>
      <c r="L677" s="12">
        <v>8</v>
      </c>
      <c r="M677" s="8">
        <v>2022</v>
      </c>
      <c r="N677" s="9">
        <v>954120.66</v>
      </c>
      <c r="O677" s="9">
        <v>1013463.68</v>
      </c>
      <c r="P677" s="9">
        <v>1057013</v>
      </c>
      <c r="Q677" s="9">
        <v>1098652.7</v>
      </c>
      <c r="R677" s="13">
        <v>41815</v>
      </c>
      <c r="S677" s="13">
        <v>41815</v>
      </c>
    </row>
    <row r="678" spans="1:19">
      <c r="A678" s="10">
        <v>2014</v>
      </c>
      <c r="B678" s="11" t="s">
        <v>483</v>
      </c>
      <c r="C678" s="11" t="s">
        <v>484</v>
      </c>
      <c r="D678" s="12">
        <v>1015042</v>
      </c>
      <c r="E678" s="12">
        <v>2</v>
      </c>
      <c r="F678" s="12"/>
      <c r="G678" s="12">
        <v>508</v>
      </c>
      <c r="H678" s="12">
        <v>9.5</v>
      </c>
      <c r="I678" s="12" t="s">
        <v>386</v>
      </c>
      <c r="J678" s="12" t="s">
        <v>387</v>
      </c>
      <c r="K678" s="12" t="b">
        <v>0</v>
      </c>
      <c r="L678" s="12">
        <v>7</v>
      </c>
      <c r="M678" s="8">
        <v>2021</v>
      </c>
      <c r="N678" s="9">
        <v>6.3799999999999996E-2</v>
      </c>
      <c r="O678" s="9">
        <v>0.115</v>
      </c>
      <c r="P678" s="9">
        <v>6.8199999999999997E-2</v>
      </c>
      <c r="Q678" s="9">
        <v>0.11849999999999999</v>
      </c>
      <c r="R678" s="13">
        <v>41815</v>
      </c>
      <c r="S678" s="13">
        <v>41815</v>
      </c>
    </row>
    <row r="679" spans="1:19">
      <c r="A679" s="10">
        <v>2014</v>
      </c>
      <c r="B679" s="11" t="s">
        <v>483</v>
      </c>
      <c r="C679" s="11" t="s">
        <v>484</v>
      </c>
      <c r="D679" s="12">
        <v>1015042</v>
      </c>
      <c r="E679" s="12">
        <v>2</v>
      </c>
      <c r="F679" s="12"/>
      <c r="G679" s="12">
        <v>508</v>
      </c>
      <c r="H679" s="12">
        <v>9.5</v>
      </c>
      <c r="I679" s="12" t="s">
        <v>386</v>
      </c>
      <c r="J679" s="12" t="s">
        <v>387</v>
      </c>
      <c r="K679" s="12" t="b">
        <v>0</v>
      </c>
      <c r="L679" s="12">
        <v>6</v>
      </c>
      <c r="M679" s="8">
        <v>2020</v>
      </c>
      <c r="N679" s="9">
        <v>6.3799999999999996E-2</v>
      </c>
      <c r="O679" s="9">
        <v>0.115</v>
      </c>
      <c r="P679" s="9">
        <v>6.8199999999999997E-2</v>
      </c>
      <c r="Q679" s="9">
        <v>0.11849999999999999</v>
      </c>
      <c r="R679" s="13">
        <v>41815</v>
      </c>
      <c r="S679" s="13">
        <v>41815</v>
      </c>
    </row>
    <row r="680" spans="1:19">
      <c r="A680" s="10">
        <v>2014</v>
      </c>
      <c r="B680" s="11" t="s">
        <v>483</v>
      </c>
      <c r="C680" s="11" t="s">
        <v>484</v>
      </c>
      <c r="D680" s="12">
        <v>1015042</v>
      </c>
      <c r="E680" s="12">
        <v>2</v>
      </c>
      <c r="F680" s="12"/>
      <c r="G680" s="12">
        <v>508</v>
      </c>
      <c r="H680" s="12">
        <v>9.5</v>
      </c>
      <c r="I680" s="12" t="s">
        <v>386</v>
      </c>
      <c r="J680" s="12" t="s">
        <v>387</v>
      </c>
      <c r="K680" s="12" t="b">
        <v>0</v>
      </c>
      <c r="L680" s="12">
        <v>8</v>
      </c>
      <c r="M680" s="8">
        <v>2022</v>
      </c>
      <c r="N680" s="9">
        <v>6.3799999999999996E-2</v>
      </c>
      <c r="O680" s="9">
        <v>0.115</v>
      </c>
      <c r="P680" s="9">
        <v>6.8199999999999997E-2</v>
      </c>
      <c r="Q680" s="9">
        <v>0.11849999999999999</v>
      </c>
      <c r="R680" s="13">
        <v>41815</v>
      </c>
      <c r="S680" s="13">
        <v>41815</v>
      </c>
    </row>
    <row r="681" spans="1:19">
      <c r="A681" s="10">
        <v>2014</v>
      </c>
      <c r="B681" s="11" t="s">
        <v>483</v>
      </c>
      <c r="C681" s="11" t="s">
        <v>484</v>
      </c>
      <c r="D681" s="12">
        <v>1015042</v>
      </c>
      <c r="E681" s="12">
        <v>2</v>
      </c>
      <c r="F681" s="12"/>
      <c r="G681" s="12">
        <v>508</v>
      </c>
      <c r="H681" s="12">
        <v>9.5</v>
      </c>
      <c r="I681" s="12" t="s">
        <v>386</v>
      </c>
      <c r="J681" s="12" t="s">
        <v>387</v>
      </c>
      <c r="K681" s="12" t="b">
        <v>0</v>
      </c>
      <c r="L681" s="12">
        <v>2</v>
      </c>
      <c r="M681" s="8">
        <v>2016</v>
      </c>
      <c r="N681" s="9">
        <v>6.3799999999999996E-2</v>
      </c>
      <c r="O681" s="9">
        <v>0.115</v>
      </c>
      <c r="P681" s="9">
        <v>6.8199999999999997E-2</v>
      </c>
      <c r="Q681" s="9">
        <v>0.11849999999999999</v>
      </c>
      <c r="R681" s="13">
        <v>41815</v>
      </c>
      <c r="S681" s="13">
        <v>41815</v>
      </c>
    </row>
    <row r="682" spans="1:19">
      <c r="A682" s="10">
        <v>2014</v>
      </c>
      <c r="B682" s="11" t="s">
        <v>483</v>
      </c>
      <c r="C682" s="11" t="s">
        <v>484</v>
      </c>
      <c r="D682" s="12">
        <v>1015042</v>
      </c>
      <c r="E682" s="12">
        <v>2</v>
      </c>
      <c r="F682" s="12"/>
      <c r="G682" s="12">
        <v>508</v>
      </c>
      <c r="H682" s="12">
        <v>9.5</v>
      </c>
      <c r="I682" s="12" t="s">
        <v>386</v>
      </c>
      <c r="J682" s="12" t="s">
        <v>387</v>
      </c>
      <c r="K682" s="12" t="b">
        <v>0</v>
      </c>
      <c r="L682" s="12">
        <v>5</v>
      </c>
      <c r="M682" s="8">
        <v>2019</v>
      </c>
      <c r="N682" s="9">
        <v>6.3799999999999996E-2</v>
      </c>
      <c r="O682" s="9">
        <v>0.115</v>
      </c>
      <c r="P682" s="9">
        <v>6.8199999999999997E-2</v>
      </c>
      <c r="Q682" s="9">
        <v>0.11849999999999999</v>
      </c>
      <c r="R682" s="13">
        <v>41815</v>
      </c>
      <c r="S682" s="13">
        <v>41815</v>
      </c>
    </row>
    <row r="683" spans="1:19">
      <c r="A683" s="10">
        <v>2014</v>
      </c>
      <c r="B683" s="11" t="s">
        <v>483</v>
      </c>
      <c r="C683" s="11" t="s">
        <v>484</v>
      </c>
      <c r="D683" s="12">
        <v>1015042</v>
      </c>
      <c r="E683" s="12">
        <v>2</v>
      </c>
      <c r="F683" s="12"/>
      <c r="G683" s="12">
        <v>508</v>
      </c>
      <c r="H683" s="12">
        <v>9.5</v>
      </c>
      <c r="I683" s="12" t="s">
        <v>386</v>
      </c>
      <c r="J683" s="12" t="s">
        <v>387</v>
      </c>
      <c r="K683" s="12" t="b">
        <v>0</v>
      </c>
      <c r="L683" s="12">
        <v>0</v>
      </c>
      <c r="M683" s="8">
        <v>2014</v>
      </c>
      <c r="N683" s="9">
        <v>6.3799999999999996E-2</v>
      </c>
      <c r="O683" s="9">
        <v>0.115</v>
      </c>
      <c r="P683" s="9">
        <v>6.8199999999999997E-2</v>
      </c>
      <c r="Q683" s="9">
        <v>0.11849999999999999</v>
      </c>
      <c r="R683" s="13">
        <v>41815</v>
      </c>
      <c r="S683" s="13">
        <v>41815</v>
      </c>
    </row>
    <row r="684" spans="1:19">
      <c r="A684" s="10">
        <v>2014</v>
      </c>
      <c r="B684" s="11" t="s">
        <v>483</v>
      </c>
      <c r="C684" s="11" t="s">
        <v>484</v>
      </c>
      <c r="D684" s="12">
        <v>1015042</v>
      </c>
      <c r="E684" s="12">
        <v>2</v>
      </c>
      <c r="F684" s="12"/>
      <c r="G684" s="12">
        <v>508</v>
      </c>
      <c r="H684" s="12">
        <v>9.5</v>
      </c>
      <c r="I684" s="12" t="s">
        <v>386</v>
      </c>
      <c r="J684" s="12" t="s">
        <v>387</v>
      </c>
      <c r="K684" s="12" t="b">
        <v>0</v>
      </c>
      <c r="L684" s="12">
        <v>4</v>
      </c>
      <c r="M684" s="8">
        <v>2018</v>
      </c>
      <c r="N684" s="9">
        <v>6.3799999999999996E-2</v>
      </c>
      <c r="O684" s="9">
        <v>0.115</v>
      </c>
      <c r="P684" s="9">
        <v>6.8199999999999997E-2</v>
      </c>
      <c r="Q684" s="9">
        <v>0.11849999999999999</v>
      </c>
      <c r="R684" s="13">
        <v>41815</v>
      </c>
      <c r="S684" s="13">
        <v>41815</v>
      </c>
    </row>
    <row r="685" spans="1:19">
      <c r="A685" s="10">
        <v>2014</v>
      </c>
      <c r="B685" s="11" t="s">
        <v>483</v>
      </c>
      <c r="C685" s="11" t="s">
        <v>484</v>
      </c>
      <c r="D685" s="12">
        <v>1015042</v>
      </c>
      <c r="E685" s="12">
        <v>2</v>
      </c>
      <c r="F685" s="12"/>
      <c r="G685" s="12">
        <v>508</v>
      </c>
      <c r="H685" s="12">
        <v>9.5</v>
      </c>
      <c r="I685" s="12" t="s">
        <v>386</v>
      </c>
      <c r="J685" s="12" t="s">
        <v>387</v>
      </c>
      <c r="K685" s="12" t="b">
        <v>0</v>
      </c>
      <c r="L685" s="12">
        <v>3</v>
      </c>
      <c r="M685" s="8">
        <v>2017</v>
      </c>
      <c r="N685" s="9">
        <v>6.3799999999999996E-2</v>
      </c>
      <c r="O685" s="9">
        <v>0.115</v>
      </c>
      <c r="P685" s="9">
        <v>6.8199999999999997E-2</v>
      </c>
      <c r="Q685" s="9">
        <v>0.11849999999999999</v>
      </c>
      <c r="R685" s="13">
        <v>41815</v>
      </c>
      <c r="S685" s="13">
        <v>41815</v>
      </c>
    </row>
    <row r="686" spans="1:19">
      <c r="A686" s="10">
        <v>2014</v>
      </c>
      <c r="B686" s="11" t="s">
        <v>483</v>
      </c>
      <c r="C686" s="11" t="s">
        <v>484</v>
      </c>
      <c r="D686" s="12">
        <v>1015042</v>
      </c>
      <c r="E686" s="12">
        <v>2</v>
      </c>
      <c r="F686" s="12"/>
      <c r="G686" s="12">
        <v>508</v>
      </c>
      <c r="H686" s="12">
        <v>9.5</v>
      </c>
      <c r="I686" s="12" t="s">
        <v>386</v>
      </c>
      <c r="J686" s="12" t="s">
        <v>387</v>
      </c>
      <c r="K686" s="12" t="b">
        <v>0</v>
      </c>
      <c r="L686" s="12">
        <v>1</v>
      </c>
      <c r="M686" s="8">
        <v>2015</v>
      </c>
      <c r="N686" s="9">
        <v>6.3799999999999996E-2</v>
      </c>
      <c r="O686" s="9">
        <v>0.115</v>
      </c>
      <c r="P686" s="9">
        <v>6.8199999999999997E-2</v>
      </c>
      <c r="Q686" s="9">
        <v>0.11849999999999999</v>
      </c>
      <c r="R686" s="13">
        <v>41815</v>
      </c>
      <c r="S686" s="13">
        <v>41815</v>
      </c>
    </row>
    <row r="687" spans="1:19">
      <c r="A687" s="10">
        <v>2014</v>
      </c>
      <c r="B687" s="11" t="s">
        <v>483</v>
      </c>
      <c r="C687" s="11" t="s">
        <v>484</v>
      </c>
      <c r="D687" s="12">
        <v>1015042</v>
      </c>
      <c r="E687" s="12">
        <v>2</v>
      </c>
      <c r="F687" s="12"/>
      <c r="G687" s="12">
        <v>680</v>
      </c>
      <c r="H687" s="12" t="s">
        <v>99</v>
      </c>
      <c r="I687" s="12"/>
      <c r="J687" s="12" t="s">
        <v>100</v>
      </c>
      <c r="K687" s="12" t="b">
        <v>1</v>
      </c>
      <c r="L687" s="12">
        <v>0</v>
      </c>
      <c r="M687" s="8">
        <v>2014</v>
      </c>
      <c r="N687" s="9">
        <v>176014.17</v>
      </c>
      <c r="O687" s="9">
        <v>25500</v>
      </c>
      <c r="P687" s="9">
        <v>0</v>
      </c>
      <c r="Q687" s="9">
        <v>0</v>
      </c>
      <c r="R687" s="13">
        <v>41815</v>
      </c>
      <c r="S687" s="13">
        <v>41815</v>
      </c>
    </row>
    <row r="688" spans="1:19">
      <c r="A688" s="10">
        <v>2014</v>
      </c>
      <c r="B688" s="11" t="s">
        <v>483</v>
      </c>
      <c r="C688" s="11" t="s">
        <v>484</v>
      </c>
      <c r="D688" s="12">
        <v>1015042</v>
      </c>
      <c r="E688" s="12">
        <v>2</v>
      </c>
      <c r="F688" s="12"/>
      <c r="G688" s="12">
        <v>680</v>
      </c>
      <c r="H688" s="12" t="s">
        <v>99</v>
      </c>
      <c r="I688" s="12"/>
      <c r="J688" s="12" t="s">
        <v>100</v>
      </c>
      <c r="K688" s="12" t="b">
        <v>1</v>
      </c>
      <c r="L688" s="12">
        <v>7</v>
      </c>
      <c r="M688" s="8">
        <v>2021</v>
      </c>
      <c r="N688" s="9">
        <v>176014.17</v>
      </c>
      <c r="O688" s="9">
        <v>25500</v>
      </c>
      <c r="P688" s="9">
        <v>0</v>
      </c>
      <c r="Q688" s="9">
        <v>0</v>
      </c>
      <c r="R688" s="13">
        <v>41815</v>
      </c>
      <c r="S688" s="13">
        <v>41815</v>
      </c>
    </row>
    <row r="689" spans="1:19">
      <c r="A689" s="10">
        <v>2014</v>
      </c>
      <c r="B689" s="11" t="s">
        <v>483</v>
      </c>
      <c r="C689" s="11" t="s">
        <v>484</v>
      </c>
      <c r="D689" s="12">
        <v>1015042</v>
      </c>
      <c r="E689" s="12">
        <v>2</v>
      </c>
      <c r="F689" s="12"/>
      <c r="G689" s="12">
        <v>680</v>
      </c>
      <c r="H689" s="12" t="s">
        <v>99</v>
      </c>
      <c r="I689" s="12"/>
      <c r="J689" s="12" t="s">
        <v>100</v>
      </c>
      <c r="K689" s="12" t="b">
        <v>1</v>
      </c>
      <c r="L689" s="12">
        <v>2</v>
      </c>
      <c r="M689" s="8">
        <v>2016</v>
      </c>
      <c r="N689" s="9">
        <v>176014.17</v>
      </c>
      <c r="O689" s="9">
        <v>25500</v>
      </c>
      <c r="P689" s="9">
        <v>0</v>
      </c>
      <c r="Q689" s="9">
        <v>0</v>
      </c>
      <c r="R689" s="13">
        <v>41815</v>
      </c>
      <c r="S689" s="13">
        <v>41815</v>
      </c>
    </row>
    <row r="690" spans="1:19">
      <c r="A690" s="10">
        <v>2014</v>
      </c>
      <c r="B690" s="11" t="s">
        <v>483</v>
      </c>
      <c r="C690" s="11" t="s">
        <v>484</v>
      </c>
      <c r="D690" s="12">
        <v>1015042</v>
      </c>
      <c r="E690" s="12">
        <v>2</v>
      </c>
      <c r="F690" s="12"/>
      <c r="G690" s="12">
        <v>680</v>
      </c>
      <c r="H690" s="12" t="s">
        <v>99</v>
      </c>
      <c r="I690" s="12"/>
      <c r="J690" s="12" t="s">
        <v>100</v>
      </c>
      <c r="K690" s="12" t="b">
        <v>1</v>
      </c>
      <c r="L690" s="12">
        <v>4</v>
      </c>
      <c r="M690" s="8">
        <v>2018</v>
      </c>
      <c r="N690" s="9">
        <v>176014.17</v>
      </c>
      <c r="O690" s="9">
        <v>25500</v>
      </c>
      <c r="P690" s="9">
        <v>0</v>
      </c>
      <c r="Q690" s="9">
        <v>0</v>
      </c>
      <c r="R690" s="13">
        <v>41815</v>
      </c>
      <c r="S690" s="13">
        <v>41815</v>
      </c>
    </row>
    <row r="691" spans="1:19">
      <c r="A691" s="10">
        <v>2014</v>
      </c>
      <c r="B691" s="11" t="s">
        <v>483</v>
      </c>
      <c r="C691" s="11" t="s">
        <v>484</v>
      </c>
      <c r="D691" s="12">
        <v>1015042</v>
      </c>
      <c r="E691" s="12">
        <v>2</v>
      </c>
      <c r="F691" s="12"/>
      <c r="G691" s="12">
        <v>680</v>
      </c>
      <c r="H691" s="12" t="s">
        <v>99</v>
      </c>
      <c r="I691" s="12"/>
      <c r="J691" s="12" t="s">
        <v>100</v>
      </c>
      <c r="K691" s="12" t="b">
        <v>1</v>
      </c>
      <c r="L691" s="12">
        <v>8</v>
      </c>
      <c r="M691" s="8">
        <v>2022</v>
      </c>
      <c r="N691" s="9">
        <v>176014.17</v>
      </c>
      <c r="O691" s="9">
        <v>25500</v>
      </c>
      <c r="P691" s="9">
        <v>0</v>
      </c>
      <c r="Q691" s="9">
        <v>0</v>
      </c>
      <c r="R691" s="13">
        <v>41815</v>
      </c>
      <c r="S691" s="13">
        <v>41815</v>
      </c>
    </row>
    <row r="692" spans="1:19">
      <c r="A692" s="10">
        <v>2014</v>
      </c>
      <c r="B692" s="11" t="s">
        <v>483</v>
      </c>
      <c r="C692" s="11" t="s">
        <v>484</v>
      </c>
      <c r="D692" s="12">
        <v>1015042</v>
      </c>
      <c r="E692" s="12">
        <v>2</v>
      </c>
      <c r="F692" s="12"/>
      <c r="G692" s="12">
        <v>680</v>
      </c>
      <c r="H692" s="12" t="s">
        <v>99</v>
      </c>
      <c r="I692" s="12"/>
      <c r="J692" s="12" t="s">
        <v>100</v>
      </c>
      <c r="K692" s="12" t="b">
        <v>1</v>
      </c>
      <c r="L692" s="12">
        <v>5</v>
      </c>
      <c r="M692" s="8">
        <v>2019</v>
      </c>
      <c r="N692" s="9">
        <v>176014.17</v>
      </c>
      <c r="O692" s="9">
        <v>25500</v>
      </c>
      <c r="P692" s="9">
        <v>0</v>
      </c>
      <c r="Q692" s="9">
        <v>0</v>
      </c>
      <c r="R692" s="13">
        <v>41815</v>
      </c>
      <c r="S692" s="13">
        <v>41815</v>
      </c>
    </row>
    <row r="693" spans="1:19">
      <c r="A693" s="10">
        <v>2014</v>
      </c>
      <c r="B693" s="11" t="s">
        <v>483</v>
      </c>
      <c r="C693" s="11" t="s">
        <v>484</v>
      </c>
      <c r="D693" s="12">
        <v>1015042</v>
      </c>
      <c r="E693" s="12">
        <v>2</v>
      </c>
      <c r="F693" s="12"/>
      <c r="G693" s="12">
        <v>680</v>
      </c>
      <c r="H693" s="12" t="s">
        <v>99</v>
      </c>
      <c r="I693" s="12"/>
      <c r="J693" s="12" t="s">
        <v>100</v>
      </c>
      <c r="K693" s="12" t="b">
        <v>1</v>
      </c>
      <c r="L693" s="12">
        <v>1</v>
      </c>
      <c r="M693" s="8">
        <v>2015</v>
      </c>
      <c r="N693" s="9">
        <v>176014.17</v>
      </c>
      <c r="O693" s="9">
        <v>25500</v>
      </c>
      <c r="P693" s="9">
        <v>0</v>
      </c>
      <c r="Q693" s="9">
        <v>0</v>
      </c>
      <c r="R693" s="13">
        <v>41815</v>
      </c>
      <c r="S693" s="13">
        <v>41815</v>
      </c>
    </row>
    <row r="694" spans="1:19">
      <c r="A694" s="10">
        <v>2014</v>
      </c>
      <c r="B694" s="11" t="s">
        <v>483</v>
      </c>
      <c r="C694" s="11" t="s">
        <v>484</v>
      </c>
      <c r="D694" s="12">
        <v>1015042</v>
      </c>
      <c r="E694" s="12">
        <v>2</v>
      </c>
      <c r="F694" s="12"/>
      <c r="G694" s="12">
        <v>680</v>
      </c>
      <c r="H694" s="12" t="s">
        <v>99</v>
      </c>
      <c r="I694" s="12"/>
      <c r="J694" s="12" t="s">
        <v>100</v>
      </c>
      <c r="K694" s="12" t="b">
        <v>1</v>
      </c>
      <c r="L694" s="12">
        <v>6</v>
      </c>
      <c r="M694" s="8">
        <v>2020</v>
      </c>
      <c r="N694" s="9">
        <v>176014.17</v>
      </c>
      <c r="O694" s="9">
        <v>25500</v>
      </c>
      <c r="P694" s="9">
        <v>0</v>
      </c>
      <c r="Q694" s="9">
        <v>0</v>
      </c>
      <c r="R694" s="13">
        <v>41815</v>
      </c>
      <c r="S694" s="13">
        <v>41815</v>
      </c>
    </row>
    <row r="695" spans="1:19">
      <c r="A695" s="10">
        <v>2014</v>
      </c>
      <c r="B695" s="11" t="s">
        <v>483</v>
      </c>
      <c r="C695" s="11" t="s">
        <v>484</v>
      </c>
      <c r="D695" s="12">
        <v>1015042</v>
      </c>
      <c r="E695" s="12">
        <v>2</v>
      </c>
      <c r="F695" s="12"/>
      <c r="G695" s="12">
        <v>680</v>
      </c>
      <c r="H695" s="12" t="s">
        <v>99</v>
      </c>
      <c r="I695" s="12"/>
      <c r="J695" s="12" t="s">
        <v>100</v>
      </c>
      <c r="K695" s="12" t="b">
        <v>1</v>
      </c>
      <c r="L695" s="12">
        <v>3</v>
      </c>
      <c r="M695" s="8">
        <v>2017</v>
      </c>
      <c r="N695" s="9">
        <v>176014.17</v>
      </c>
      <c r="O695" s="9">
        <v>25500</v>
      </c>
      <c r="P695" s="9">
        <v>0</v>
      </c>
      <c r="Q695" s="9">
        <v>0</v>
      </c>
      <c r="R695" s="13">
        <v>41815</v>
      </c>
      <c r="S695" s="13">
        <v>41815</v>
      </c>
    </row>
    <row r="696" spans="1:19">
      <c r="A696" s="10">
        <v>2014</v>
      </c>
      <c r="B696" s="11" t="s">
        <v>483</v>
      </c>
      <c r="C696" s="11" t="s">
        <v>484</v>
      </c>
      <c r="D696" s="12">
        <v>1015042</v>
      </c>
      <c r="E696" s="12">
        <v>2</v>
      </c>
      <c r="F696" s="12"/>
      <c r="G696" s="12">
        <v>920</v>
      </c>
      <c r="H696" s="12" t="s">
        <v>132</v>
      </c>
      <c r="I696" s="12"/>
      <c r="J696" s="12" t="s">
        <v>410</v>
      </c>
      <c r="K696" s="12" t="b">
        <v>1</v>
      </c>
      <c r="L696" s="12">
        <v>4</v>
      </c>
      <c r="M696" s="8">
        <v>2018</v>
      </c>
      <c r="N696" s="9">
        <v>0</v>
      </c>
      <c r="O696" s="9">
        <v>0</v>
      </c>
      <c r="P696" s="9">
        <v>0</v>
      </c>
      <c r="Q696" s="9">
        <v>0</v>
      </c>
      <c r="R696" s="13">
        <v>41815</v>
      </c>
      <c r="S696" s="13">
        <v>41815</v>
      </c>
    </row>
    <row r="697" spans="1:19">
      <c r="A697" s="10">
        <v>2014</v>
      </c>
      <c r="B697" s="11" t="s">
        <v>483</v>
      </c>
      <c r="C697" s="11" t="s">
        <v>484</v>
      </c>
      <c r="D697" s="12">
        <v>1015042</v>
      </c>
      <c r="E697" s="12">
        <v>2</v>
      </c>
      <c r="F697" s="12"/>
      <c r="G697" s="12">
        <v>920</v>
      </c>
      <c r="H697" s="12" t="s">
        <v>132</v>
      </c>
      <c r="I697" s="12"/>
      <c r="J697" s="12" t="s">
        <v>410</v>
      </c>
      <c r="K697" s="12" t="b">
        <v>1</v>
      </c>
      <c r="L697" s="12">
        <v>6</v>
      </c>
      <c r="M697" s="8">
        <v>2020</v>
      </c>
      <c r="N697" s="9">
        <v>0</v>
      </c>
      <c r="O697" s="9">
        <v>0</v>
      </c>
      <c r="P697" s="9">
        <v>0</v>
      </c>
      <c r="Q697" s="9">
        <v>0</v>
      </c>
      <c r="R697" s="13">
        <v>41815</v>
      </c>
      <c r="S697" s="13">
        <v>41815</v>
      </c>
    </row>
    <row r="698" spans="1:19">
      <c r="A698" s="10">
        <v>2014</v>
      </c>
      <c r="B698" s="11" t="s">
        <v>483</v>
      </c>
      <c r="C698" s="11" t="s">
        <v>484</v>
      </c>
      <c r="D698" s="12">
        <v>1015042</v>
      </c>
      <c r="E698" s="12">
        <v>2</v>
      </c>
      <c r="F698" s="12"/>
      <c r="G698" s="12">
        <v>920</v>
      </c>
      <c r="H698" s="12" t="s">
        <v>132</v>
      </c>
      <c r="I698" s="12"/>
      <c r="J698" s="12" t="s">
        <v>410</v>
      </c>
      <c r="K698" s="12" t="b">
        <v>1</v>
      </c>
      <c r="L698" s="12">
        <v>3</v>
      </c>
      <c r="M698" s="8">
        <v>2017</v>
      </c>
      <c r="N698" s="9">
        <v>0</v>
      </c>
      <c r="O698" s="9">
        <v>0</v>
      </c>
      <c r="P698" s="9">
        <v>0</v>
      </c>
      <c r="Q698" s="9">
        <v>0</v>
      </c>
      <c r="R698" s="13">
        <v>41815</v>
      </c>
      <c r="S698" s="13">
        <v>41815</v>
      </c>
    </row>
    <row r="699" spans="1:19">
      <c r="A699" s="10">
        <v>2014</v>
      </c>
      <c r="B699" s="11" t="s">
        <v>483</v>
      </c>
      <c r="C699" s="11" t="s">
        <v>484</v>
      </c>
      <c r="D699" s="12">
        <v>1015042</v>
      </c>
      <c r="E699" s="12">
        <v>2</v>
      </c>
      <c r="F699" s="12"/>
      <c r="G699" s="12">
        <v>920</v>
      </c>
      <c r="H699" s="12" t="s">
        <v>132</v>
      </c>
      <c r="I699" s="12"/>
      <c r="J699" s="12" t="s">
        <v>410</v>
      </c>
      <c r="K699" s="12" t="b">
        <v>1</v>
      </c>
      <c r="L699" s="12">
        <v>2</v>
      </c>
      <c r="M699" s="8">
        <v>2016</v>
      </c>
      <c r="N699" s="9">
        <v>0</v>
      </c>
      <c r="O699" s="9">
        <v>0</v>
      </c>
      <c r="P699" s="9">
        <v>0</v>
      </c>
      <c r="Q699" s="9">
        <v>0</v>
      </c>
      <c r="R699" s="13">
        <v>41815</v>
      </c>
      <c r="S699" s="13">
        <v>41815</v>
      </c>
    </row>
    <row r="700" spans="1:19">
      <c r="A700" s="10">
        <v>2014</v>
      </c>
      <c r="B700" s="11" t="s">
        <v>483</v>
      </c>
      <c r="C700" s="11" t="s">
        <v>484</v>
      </c>
      <c r="D700" s="12">
        <v>1015042</v>
      </c>
      <c r="E700" s="12">
        <v>2</v>
      </c>
      <c r="F700" s="12"/>
      <c r="G700" s="12">
        <v>920</v>
      </c>
      <c r="H700" s="12" t="s">
        <v>132</v>
      </c>
      <c r="I700" s="12"/>
      <c r="J700" s="12" t="s">
        <v>410</v>
      </c>
      <c r="K700" s="12" t="b">
        <v>1</v>
      </c>
      <c r="L700" s="12">
        <v>1</v>
      </c>
      <c r="M700" s="8">
        <v>2015</v>
      </c>
      <c r="N700" s="9">
        <v>0</v>
      </c>
      <c r="O700" s="9">
        <v>0</v>
      </c>
      <c r="P700" s="9">
        <v>0</v>
      </c>
      <c r="Q700" s="9">
        <v>0</v>
      </c>
      <c r="R700" s="13">
        <v>41815</v>
      </c>
      <c r="S700" s="13">
        <v>41815</v>
      </c>
    </row>
    <row r="701" spans="1:19">
      <c r="A701" s="10">
        <v>2014</v>
      </c>
      <c r="B701" s="11" t="s">
        <v>483</v>
      </c>
      <c r="C701" s="11" t="s">
        <v>484</v>
      </c>
      <c r="D701" s="12">
        <v>1015042</v>
      </c>
      <c r="E701" s="12">
        <v>2</v>
      </c>
      <c r="F701" s="12"/>
      <c r="G701" s="12">
        <v>920</v>
      </c>
      <c r="H701" s="12" t="s">
        <v>132</v>
      </c>
      <c r="I701" s="12"/>
      <c r="J701" s="12" t="s">
        <v>410</v>
      </c>
      <c r="K701" s="12" t="b">
        <v>1</v>
      </c>
      <c r="L701" s="12">
        <v>8</v>
      </c>
      <c r="M701" s="8">
        <v>2022</v>
      </c>
      <c r="N701" s="9">
        <v>0</v>
      </c>
      <c r="O701" s="9">
        <v>0</v>
      </c>
      <c r="P701" s="9">
        <v>0</v>
      </c>
      <c r="Q701" s="9">
        <v>0</v>
      </c>
      <c r="R701" s="13">
        <v>41815</v>
      </c>
      <c r="S701" s="13">
        <v>41815</v>
      </c>
    </row>
    <row r="702" spans="1:19">
      <c r="A702" s="10">
        <v>2014</v>
      </c>
      <c r="B702" s="11" t="s">
        <v>483</v>
      </c>
      <c r="C702" s="11" t="s">
        <v>484</v>
      </c>
      <c r="D702" s="12">
        <v>1015042</v>
      </c>
      <c r="E702" s="12">
        <v>2</v>
      </c>
      <c r="F702" s="12"/>
      <c r="G702" s="12">
        <v>920</v>
      </c>
      <c r="H702" s="12" t="s">
        <v>132</v>
      </c>
      <c r="I702" s="12"/>
      <c r="J702" s="12" t="s">
        <v>410</v>
      </c>
      <c r="K702" s="12" t="b">
        <v>1</v>
      </c>
      <c r="L702" s="12">
        <v>7</v>
      </c>
      <c r="M702" s="8">
        <v>2021</v>
      </c>
      <c r="N702" s="9">
        <v>0</v>
      </c>
      <c r="O702" s="9">
        <v>0</v>
      </c>
      <c r="P702" s="9">
        <v>0</v>
      </c>
      <c r="Q702" s="9">
        <v>0</v>
      </c>
      <c r="R702" s="13">
        <v>41815</v>
      </c>
      <c r="S702" s="13">
        <v>41815</v>
      </c>
    </row>
    <row r="703" spans="1:19">
      <c r="A703" s="10">
        <v>2014</v>
      </c>
      <c r="B703" s="11" t="s">
        <v>483</v>
      </c>
      <c r="C703" s="11" t="s">
        <v>484</v>
      </c>
      <c r="D703" s="12">
        <v>1015042</v>
      </c>
      <c r="E703" s="12">
        <v>2</v>
      </c>
      <c r="F703" s="12"/>
      <c r="G703" s="12">
        <v>920</v>
      </c>
      <c r="H703" s="12" t="s">
        <v>132</v>
      </c>
      <c r="I703" s="12"/>
      <c r="J703" s="12" t="s">
        <v>410</v>
      </c>
      <c r="K703" s="12" t="b">
        <v>1</v>
      </c>
      <c r="L703" s="12">
        <v>5</v>
      </c>
      <c r="M703" s="8">
        <v>2019</v>
      </c>
      <c r="N703" s="9">
        <v>0</v>
      </c>
      <c r="O703" s="9">
        <v>0</v>
      </c>
      <c r="P703" s="9">
        <v>0</v>
      </c>
      <c r="Q703" s="9">
        <v>0</v>
      </c>
      <c r="R703" s="13">
        <v>41815</v>
      </c>
      <c r="S703" s="13">
        <v>41815</v>
      </c>
    </row>
    <row r="704" spans="1:19">
      <c r="A704" s="10">
        <v>2014</v>
      </c>
      <c r="B704" s="11" t="s">
        <v>483</v>
      </c>
      <c r="C704" s="11" t="s">
        <v>484</v>
      </c>
      <c r="D704" s="12">
        <v>1015042</v>
      </c>
      <c r="E704" s="12">
        <v>2</v>
      </c>
      <c r="F704" s="12"/>
      <c r="G704" s="12">
        <v>920</v>
      </c>
      <c r="H704" s="12" t="s">
        <v>132</v>
      </c>
      <c r="I704" s="12"/>
      <c r="J704" s="12" t="s">
        <v>410</v>
      </c>
      <c r="K704" s="12" t="b">
        <v>1</v>
      </c>
      <c r="L704" s="12">
        <v>0</v>
      </c>
      <c r="M704" s="8">
        <v>2014</v>
      </c>
      <c r="N704" s="9">
        <v>0</v>
      </c>
      <c r="O704" s="9">
        <v>0</v>
      </c>
      <c r="P704" s="9">
        <v>0</v>
      </c>
      <c r="Q704" s="9">
        <v>0</v>
      </c>
      <c r="R704" s="13">
        <v>41815</v>
      </c>
      <c r="S704" s="13">
        <v>41815</v>
      </c>
    </row>
    <row r="705" spans="1:19">
      <c r="A705" s="10">
        <v>2014</v>
      </c>
      <c r="B705" s="11" t="s">
        <v>483</v>
      </c>
      <c r="C705" s="11" t="s">
        <v>484</v>
      </c>
      <c r="D705" s="12">
        <v>1015042</v>
      </c>
      <c r="E705" s="12">
        <v>2</v>
      </c>
      <c r="F705" s="12"/>
      <c r="G705" s="12">
        <v>70</v>
      </c>
      <c r="H705" s="12" t="s">
        <v>49</v>
      </c>
      <c r="I705" s="12"/>
      <c r="J705" s="12" t="s">
        <v>50</v>
      </c>
      <c r="K705" s="12" t="b">
        <v>1</v>
      </c>
      <c r="L705" s="12">
        <v>8</v>
      </c>
      <c r="M705" s="8">
        <v>2022</v>
      </c>
      <c r="N705" s="9">
        <v>2979106</v>
      </c>
      <c r="O705" s="9">
        <v>3155234</v>
      </c>
      <c r="P705" s="9">
        <v>2873140</v>
      </c>
      <c r="Q705" s="9">
        <v>2873140</v>
      </c>
      <c r="R705" s="13">
        <v>41815</v>
      </c>
      <c r="S705" s="13">
        <v>41815</v>
      </c>
    </row>
    <row r="706" spans="1:19">
      <c r="A706" s="10">
        <v>2014</v>
      </c>
      <c r="B706" s="11" t="s">
        <v>483</v>
      </c>
      <c r="C706" s="11" t="s">
        <v>484</v>
      </c>
      <c r="D706" s="12">
        <v>1015042</v>
      </c>
      <c r="E706" s="12">
        <v>2</v>
      </c>
      <c r="F706" s="12"/>
      <c r="G706" s="12">
        <v>70</v>
      </c>
      <c r="H706" s="12" t="s">
        <v>49</v>
      </c>
      <c r="I706" s="12"/>
      <c r="J706" s="12" t="s">
        <v>50</v>
      </c>
      <c r="K706" s="12" t="b">
        <v>1</v>
      </c>
      <c r="L706" s="12">
        <v>7</v>
      </c>
      <c r="M706" s="8">
        <v>2021</v>
      </c>
      <c r="N706" s="9">
        <v>2979106</v>
      </c>
      <c r="O706" s="9">
        <v>3155234</v>
      </c>
      <c r="P706" s="9">
        <v>2873140</v>
      </c>
      <c r="Q706" s="9">
        <v>2873140</v>
      </c>
      <c r="R706" s="13">
        <v>41815</v>
      </c>
      <c r="S706" s="13">
        <v>41815</v>
      </c>
    </row>
    <row r="707" spans="1:19">
      <c r="A707" s="10">
        <v>2014</v>
      </c>
      <c r="B707" s="11" t="s">
        <v>483</v>
      </c>
      <c r="C707" s="11" t="s">
        <v>484</v>
      </c>
      <c r="D707" s="12">
        <v>1015042</v>
      </c>
      <c r="E707" s="12">
        <v>2</v>
      </c>
      <c r="F707" s="12"/>
      <c r="G707" s="12">
        <v>70</v>
      </c>
      <c r="H707" s="12" t="s">
        <v>49</v>
      </c>
      <c r="I707" s="12"/>
      <c r="J707" s="12" t="s">
        <v>50</v>
      </c>
      <c r="K707" s="12" t="b">
        <v>1</v>
      </c>
      <c r="L707" s="12">
        <v>1</v>
      </c>
      <c r="M707" s="8">
        <v>2015</v>
      </c>
      <c r="N707" s="9">
        <v>2979106</v>
      </c>
      <c r="O707" s="9">
        <v>3155234</v>
      </c>
      <c r="P707" s="9">
        <v>2873140</v>
      </c>
      <c r="Q707" s="9">
        <v>2873140</v>
      </c>
      <c r="R707" s="13">
        <v>41815</v>
      </c>
      <c r="S707" s="13">
        <v>41815</v>
      </c>
    </row>
    <row r="708" spans="1:19">
      <c r="A708" s="10">
        <v>2014</v>
      </c>
      <c r="B708" s="11" t="s">
        <v>483</v>
      </c>
      <c r="C708" s="11" t="s">
        <v>484</v>
      </c>
      <c r="D708" s="12">
        <v>1015042</v>
      </c>
      <c r="E708" s="12">
        <v>2</v>
      </c>
      <c r="F708" s="12"/>
      <c r="G708" s="12">
        <v>70</v>
      </c>
      <c r="H708" s="12" t="s">
        <v>49</v>
      </c>
      <c r="I708" s="12"/>
      <c r="J708" s="12" t="s">
        <v>50</v>
      </c>
      <c r="K708" s="12" t="b">
        <v>1</v>
      </c>
      <c r="L708" s="12">
        <v>0</v>
      </c>
      <c r="M708" s="8">
        <v>2014</v>
      </c>
      <c r="N708" s="9">
        <v>2979106</v>
      </c>
      <c r="O708" s="9">
        <v>3155234</v>
      </c>
      <c r="P708" s="9">
        <v>2873140</v>
      </c>
      <c r="Q708" s="9">
        <v>2873140</v>
      </c>
      <c r="R708" s="13">
        <v>41815</v>
      </c>
      <c r="S708" s="13">
        <v>41815</v>
      </c>
    </row>
    <row r="709" spans="1:19">
      <c r="A709" s="10">
        <v>2014</v>
      </c>
      <c r="B709" s="11" t="s">
        <v>483</v>
      </c>
      <c r="C709" s="11" t="s">
        <v>484</v>
      </c>
      <c r="D709" s="12">
        <v>1015042</v>
      </c>
      <c r="E709" s="12">
        <v>2</v>
      </c>
      <c r="F709" s="12"/>
      <c r="G709" s="12">
        <v>70</v>
      </c>
      <c r="H709" s="12" t="s">
        <v>49</v>
      </c>
      <c r="I709" s="12"/>
      <c r="J709" s="12" t="s">
        <v>50</v>
      </c>
      <c r="K709" s="12" t="b">
        <v>1</v>
      </c>
      <c r="L709" s="12">
        <v>5</v>
      </c>
      <c r="M709" s="8">
        <v>2019</v>
      </c>
      <c r="N709" s="9">
        <v>2979106</v>
      </c>
      <c r="O709" s="9">
        <v>3155234</v>
      </c>
      <c r="P709" s="9">
        <v>2873140</v>
      </c>
      <c r="Q709" s="9">
        <v>2873140</v>
      </c>
      <c r="R709" s="13">
        <v>41815</v>
      </c>
      <c r="S709" s="13">
        <v>41815</v>
      </c>
    </row>
    <row r="710" spans="1:19">
      <c r="A710" s="10">
        <v>2014</v>
      </c>
      <c r="B710" s="11" t="s">
        <v>483</v>
      </c>
      <c r="C710" s="11" t="s">
        <v>484</v>
      </c>
      <c r="D710" s="12">
        <v>1015042</v>
      </c>
      <c r="E710" s="12">
        <v>2</v>
      </c>
      <c r="F710" s="12"/>
      <c r="G710" s="12">
        <v>70</v>
      </c>
      <c r="H710" s="12" t="s">
        <v>49</v>
      </c>
      <c r="I710" s="12"/>
      <c r="J710" s="12" t="s">
        <v>50</v>
      </c>
      <c r="K710" s="12" t="b">
        <v>1</v>
      </c>
      <c r="L710" s="12">
        <v>6</v>
      </c>
      <c r="M710" s="8">
        <v>2020</v>
      </c>
      <c r="N710" s="9">
        <v>2979106</v>
      </c>
      <c r="O710" s="9">
        <v>3155234</v>
      </c>
      <c r="P710" s="9">
        <v>2873140</v>
      </c>
      <c r="Q710" s="9">
        <v>2873140</v>
      </c>
      <c r="R710" s="13">
        <v>41815</v>
      </c>
      <c r="S710" s="13">
        <v>41815</v>
      </c>
    </row>
    <row r="711" spans="1:19">
      <c r="A711" s="10">
        <v>2014</v>
      </c>
      <c r="B711" s="11" t="s">
        <v>483</v>
      </c>
      <c r="C711" s="11" t="s">
        <v>484</v>
      </c>
      <c r="D711" s="12">
        <v>1015042</v>
      </c>
      <c r="E711" s="12">
        <v>2</v>
      </c>
      <c r="F711" s="12"/>
      <c r="G711" s="12">
        <v>70</v>
      </c>
      <c r="H711" s="12" t="s">
        <v>49</v>
      </c>
      <c r="I711" s="12"/>
      <c r="J711" s="12" t="s">
        <v>50</v>
      </c>
      <c r="K711" s="12" t="b">
        <v>1</v>
      </c>
      <c r="L711" s="12">
        <v>4</v>
      </c>
      <c r="M711" s="8">
        <v>2018</v>
      </c>
      <c r="N711" s="9">
        <v>2979106</v>
      </c>
      <c r="O711" s="9">
        <v>3155234</v>
      </c>
      <c r="P711" s="9">
        <v>2873140</v>
      </c>
      <c r="Q711" s="9">
        <v>2873140</v>
      </c>
      <c r="R711" s="13">
        <v>41815</v>
      </c>
      <c r="S711" s="13">
        <v>41815</v>
      </c>
    </row>
    <row r="712" spans="1:19">
      <c r="A712" s="10">
        <v>2014</v>
      </c>
      <c r="B712" s="11" t="s">
        <v>483</v>
      </c>
      <c r="C712" s="11" t="s">
        <v>484</v>
      </c>
      <c r="D712" s="12">
        <v>1015042</v>
      </c>
      <c r="E712" s="12">
        <v>2</v>
      </c>
      <c r="F712" s="12"/>
      <c r="G712" s="12">
        <v>70</v>
      </c>
      <c r="H712" s="12" t="s">
        <v>49</v>
      </c>
      <c r="I712" s="12"/>
      <c r="J712" s="12" t="s">
        <v>50</v>
      </c>
      <c r="K712" s="12" t="b">
        <v>1</v>
      </c>
      <c r="L712" s="12">
        <v>3</v>
      </c>
      <c r="M712" s="8">
        <v>2017</v>
      </c>
      <c r="N712" s="9">
        <v>2979106</v>
      </c>
      <c r="O712" s="9">
        <v>3155234</v>
      </c>
      <c r="P712" s="9">
        <v>2873140</v>
      </c>
      <c r="Q712" s="9">
        <v>2873140</v>
      </c>
      <c r="R712" s="13">
        <v>41815</v>
      </c>
      <c r="S712" s="13">
        <v>41815</v>
      </c>
    </row>
    <row r="713" spans="1:19">
      <c r="A713" s="10">
        <v>2014</v>
      </c>
      <c r="B713" s="11" t="s">
        <v>483</v>
      </c>
      <c r="C713" s="11" t="s">
        <v>484</v>
      </c>
      <c r="D713" s="12">
        <v>1015042</v>
      </c>
      <c r="E713" s="12">
        <v>2</v>
      </c>
      <c r="F713" s="12"/>
      <c r="G713" s="12">
        <v>70</v>
      </c>
      <c r="H713" s="12" t="s">
        <v>49</v>
      </c>
      <c r="I713" s="12"/>
      <c r="J713" s="12" t="s">
        <v>50</v>
      </c>
      <c r="K713" s="12" t="b">
        <v>1</v>
      </c>
      <c r="L713" s="12">
        <v>2</v>
      </c>
      <c r="M713" s="8">
        <v>2016</v>
      </c>
      <c r="N713" s="9">
        <v>2979106</v>
      </c>
      <c r="O713" s="9">
        <v>3155234</v>
      </c>
      <c r="P713" s="9">
        <v>2873140</v>
      </c>
      <c r="Q713" s="9">
        <v>2873140</v>
      </c>
      <c r="R713" s="13">
        <v>41815</v>
      </c>
      <c r="S713" s="13">
        <v>41815</v>
      </c>
    </row>
    <row r="714" spans="1:19">
      <c r="A714" s="10">
        <v>2014</v>
      </c>
      <c r="B714" s="11" t="s">
        <v>483</v>
      </c>
      <c r="C714" s="11" t="s">
        <v>484</v>
      </c>
      <c r="D714" s="12">
        <v>1015042</v>
      </c>
      <c r="E714" s="12">
        <v>2</v>
      </c>
      <c r="F714" s="12"/>
      <c r="G714" s="12">
        <v>310</v>
      </c>
      <c r="H714" s="12">
        <v>5.0999999999999996</v>
      </c>
      <c r="I714" s="12"/>
      <c r="J714" s="12" t="s">
        <v>77</v>
      </c>
      <c r="K714" s="12" t="b">
        <v>1</v>
      </c>
      <c r="L714" s="12">
        <v>0</v>
      </c>
      <c r="M714" s="8">
        <v>2014</v>
      </c>
      <c r="N714" s="9">
        <v>1005325.64</v>
      </c>
      <c r="O714" s="9">
        <v>946446.93</v>
      </c>
      <c r="P714" s="9">
        <v>336951</v>
      </c>
      <c r="Q714" s="9">
        <v>336950.28</v>
      </c>
      <c r="R714" s="13">
        <v>41815</v>
      </c>
      <c r="S714" s="13">
        <v>41815</v>
      </c>
    </row>
    <row r="715" spans="1:19">
      <c r="A715" s="10">
        <v>2014</v>
      </c>
      <c r="B715" s="11" t="s">
        <v>483</v>
      </c>
      <c r="C715" s="11" t="s">
        <v>484</v>
      </c>
      <c r="D715" s="12">
        <v>1015042</v>
      </c>
      <c r="E715" s="12">
        <v>2</v>
      </c>
      <c r="F715" s="12"/>
      <c r="G715" s="12">
        <v>310</v>
      </c>
      <c r="H715" s="12">
        <v>5.0999999999999996</v>
      </c>
      <c r="I715" s="12"/>
      <c r="J715" s="12" t="s">
        <v>77</v>
      </c>
      <c r="K715" s="12" t="b">
        <v>1</v>
      </c>
      <c r="L715" s="12">
        <v>4</v>
      </c>
      <c r="M715" s="8">
        <v>2018</v>
      </c>
      <c r="N715" s="9">
        <v>1005325.64</v>
      </c>
      <c r="O715" s="9">
        <v>946446.93</v>
      </c>
      <c r="P715" s="9">
        <v>336951</v>
      </c>
      <c r="Q715" s="9">
        <v>336950.28</v>
      </c>
      <c r="R715" s="13">
        <v>41815</v>
      </c>
      <c r="S715" s="13">
        <v>41815</v>
      </c>
    </row>
    <row r="716" spans="1:19">
      <c r="A716" s="10">
        <v>2014</v>
      </c>
      <c r="B716" s="11" t="s">
        <v>483</v>
      </c>
      <c r="C716" s="11" t="s">
        <v>484</v>
      </c>
      <c r="D716" s="12">
        <v>1015042</v>
      </c>
      <c r="E716" s="12">
        <v>2</v>
      </c>
      <c r="F716" s="12"/>
      <c r="G716" s="12">
        <v>310</v>
      </c>
      <c r="H716" s="12">
        <v>5.0999999999999996</v>
      </c>
      <c r="I716" s="12"/>
      <c r="J716" s="12" t="s">
        <v>77</v>
      </c>
      <c r="K716" s="12" t="b">
        <v>1</v>
      </c>
      <c r="L716" s="12">
        <v>5</v>
      </c>
      <c r="M716" s="8">
        <v>2019</v>
      </c>
      <c r="N716" s="9">
        <v>1005325.64</v>
      </c>
      <c r="O716" s="9">
        <v>946446.93</v>
      </c>
      <c r="P716" s="9">
        <v>336951</v>
      </c>
      <c r="Q716" s="9">
        <v>336950.28</v>
      </c>
      <c r="R716" s="13">
        <v>41815</v>
      </c>
      <c r="S716" s="13">
        <v>41815</v>
      </c>
    </row>
    <row r="717" spans="1:19">
      <c r="A717" s="10">
        <v>2014</v>
      </c>
      <c r="B717" s="11" t="s">
        <v>483</v>
      </c>
      <c r="C717" s="11" t="s">
        <v>484</v>
      </c>
      <c r="D717" s="12">
        <v>1015042</v>
      </c>
      <c r="E717" s="12">
        <v>2</v>
      </c>
      <c r="F717" s="12"/>
      <c r="G717" s="12">
        <v>310</v>
      </c>
      <c r="H717" s="12">
        <v>5.0999999999999996</v>
      </c>
      <c r="I717" s="12"/>
      <c r="J717" s="12" t="s">
        <v>77</v>
      </c>
      <c r="K717" s="12" t="b">
        <v>1</v>
      </c>
      <c r="L717" s="12">
        <v>6</v>
      </c>
      <c r="M717" s="8">
        <v>2020</v>
      </c>
      <c r="N717" s="9">
        <v>1005325.64</v>
      </c>
      <c r="O717" s="9">
        <v>946446.93</v>
      </c>
      <c r="P717" s="9">
        <v>336951</v>
      </c>
      <c r="Q717" s="9">
        <v>336950.28</v>
      </c>
      <c r="R717" s="13">
        <v>41815</v>
      </c>
      <c r="S717" s="13">
        <v>41815</v>
      </c>
    </row>
    <row r="718" spans="1:19">
      <c r="A718" s="10">
        <v>2014</v>
      </c>
      <c r="B718" s="11" t="s">
        <v>483</v>
      </c>
      <c r="C718" s="11" t="s">
        <v>484</v>
      </c>
      <c r="D718" s="12">
        <v>1015042</v>
      </c>
      <c r="E718" s="12">
        <v>2</v>
      </c>
      <c r="F718" s="12"/>
      <c r="G718" s="12">
        <v>310</v>
      </c>
      <c r="H718" s="12">
        <v>5.0999999999999996</v>
      </c>
      <c r="I718" s="12"/>
      <c r="J718" s="12" t="s">
        <v>77</v>
      </c>
      <c r="K718" s="12" t="b">
        <v>1</v>
      </c>
      <c r="L718" s="12">
        <v>8</v>
      </c>
      <c r="M718" s="8">
        <v>2022</v>
      </c>
      <c r="N718" s="9">
        <v>1005325.64</v>
      </c>
      <c r="O718" s="9">
        <v>946446.93</v>
      </c>
      <c r="P718" s="9">
        <v>336951</v>
      </c>
      <c r="Q718" s="9">
        <v>336950.28</v>
      </c>
      <c r="R718" s="13">
        <v>41815</v>
      </c>
      <c r="S718" s="13">
        <v>41815</v>
      </c>
    </row>
    <row r="719" spans="1:19">
      <c r="A719" s="10">
        <v>2014</v>
      </c>
      <c r="B719" s="11" t="s">
        <v>483</v>
      </c>
      <c r="C719" s="11" t="s">
        <v>484</v>
      </c>
      <c r="D719" s="12">
        <v>1015042</v>
      </c>
      <c r="E719" s="12">
        <v>2</v>
      </c>
      <c r="F719" s="12"/>
      <c r="G719" s="12">
        <v>310</v>
      </c>
      <c r="H719" s="12">
        <v>5.0999999999999996</v>
      </c>
      <c r="I719" s="12"/>
      <c r="J719" s="12" t="s">
        <v>77</v>
      </c>
      <c r="K719" s="12" t="b">
        <v>1</v>
      </c>
      <c r="L719" s="12">
        <v>3</v>
      </c>
      <c r="M719" s="8">
        <v>2017</v>
      </c>
      <c r="N719" s="9">
        <v>1005325.64</v>
      </c>
      <c r="O719" s="9">
        <v>946446.93</v>
      </c>
      <c r="P719" s="9">
        <v>336951</v>
      </c>
      <c r="Q719" s="9">
        <v>336950.28</v>
      </c>
      <c r="R719" s="13">
        <v>41815</v>
      </c>
      <c r="S719" s="13">
        <v>41815</v>
      </c>
    </row>
    <row r="720" spans="1:19">
      <c r="A720" s="10">
        <v>2014</v>
      </c>
      <c r="B720" s="11" t="s">
        <v>483</v>
      </c>
      <c r="C720" s="11" t="s">
        <v>484</v>
      </c>
      <c r="D720" s="12">
        <v>1015042</v>
      </c>
      <c r="E720" s="12">
        <v>2</v>
      </c>
      <c r="F720" s="12"/>
      <c r="G720" s="12">
        <v>310</v>
      </c>
      <c r="H720" s="12">
        <v>5.0999999999999996</v>
      </c>
      <c r="I720" s="12"/>
      <c r="J720" s="12" t="s">
        <v>77</v>
      </c>
      <c r="K720" s="12" t="b">
        <v>1</v>
      </c>
      <c r="L720" s="12">
        <v>2</v>
      </c>
      <c r="M720" s="8">
        <v>2016</v>
      </c>
      <c r="N720" s="9">
        <v>1005325.64</v>
      </c>
      <c r="O720" s="9">
        <v>946446.93</v>
      </c>
      <c r="P720" s="9">
        <v>336951</v>
      </c>
      <c r="Q720" s="9">
        <v>336950.28</v>
      </c>
      <c r="R720" s="13">
        <v>41815</v>
      </c>
      <c r="S720" s="13">
        <v>41815</v>
      </c>
    </row>
    <row r="721" spans="1:19">
      <c r="A721" s="10">
        <v>2014</v>
      </c>
      <c r="B721" s="11" t="s">
        <v>483</v>
      </c>
      <c r="C721" s="11" t="s">
        <v>484</v>
      </c>
      <c r="D721" s="12">
        <v>1015042</v>
      </c>
      <c r="E721" s="12">
        <v>2</v>
      </c>
      <c r="F721" s="12"/>
      <c r="G721" s="12">
        <v>310</v>
      </c>
      <c r="H721" s="12">
        <v>5.0999999999999996</v>
      </c>
      <c r="I721" s="12"/>
      <c r="J721" s="12" t="s">
        <v>77</v>
      </c>
      <c r="K721" s="12" t="b">
        <v>1</v>
      </c>
      <c r="L721" s="12">
        <v>1</v>
      </c>
      <c r="M721" s="8">
        <v>2015</v>
      </c>
      <c r="N721" s="9">
        <v>1005325.64</v>
      </c>
      <c r="O721" s="9">
        <v>946446.93</v>
      </c>
      <c r="P721" s="9">
        <v>336951</v>
      </c>
      <c r="Q721" s="9">
        <v>336950.28</v>
      </c>
      <c r="R721" s="13">
        <v>41815</v>
      </c>
      <c r="S721" s="13">
        <v>41815</v>
      </c>
    </row>
    <row r="722" spans="1:19">
      <c r="A722" s="10">
        <v>2014</v>
      </c>
      <c r="B722" s="11" t="s">
        <v>483</v>
      </c>
      <c r="C722" s="11" t="s">
        <v>484</v>
      </c>
      <c r="D722" s="12">
        <v>1015042</v>
      </c>
      <c r="E722" s="12">
        <v>2</v>
      </c>
      <c r="F722" s="12"/>
      <c r="G722" s="12">
        <v>310</v>
      </c>
      <c r="H722" s="12">
        <v>5.0999999999999996</v>
      </c>
      <c r="I722" s="12"/>
      <c r="J722" s="12" t="s">
        <v>77</v>
      </c>
      <c r="K722" s="12" t="b">
        <v>1</v>
      </c>
      <c r="L722" s="12">
        <v>7</v>
      </c>
      <c r="M722" s="8">
        <v>2021</v>
      </c>
      <c r="N722" s="9">
        <v>1005325.64</v>
      </c>
      <c r="O722" s="9">
        <v>946446.93</v>
      </c>
      <c r="P722" s="9">
        <v>336951</v>
      </c>
      <c r="Q722" s="9">
        <v>336950.28</v>
      </c>
      <c r="R722" s="13">
        <v>41815</v>
      </c>
      <c r="S722" s="13">
        <v>41815</v>
      </c>
    </row>
    <row r="723" spans="1:19">
      <c r="A723" s="10">
        <v>2014</v>
      </c>
      <c r="B723" s="11" t="s">
        <v>483</v>
      </c>
      <c r="C723" s="11" t="s">
        <v>484</v>
      </c>
      <c r="D723" s="12">
        <v>1015042</v>
      </c>
      <c r="E723" s="12">
        <v>2</v>
      </c>
      <c r="F723" s="12"/>
      <c r="G723" s="12">
        <v>660</v>
      </c>
      <c r="H723" s="12">
        <v>12</v>
      </c>
      <c r="I723" s="12"/>
      <c r="J723" s="12" t="s">
        <v>97</v>
      </c>
      <c r="K723" s="12" t="b">
        <v>1</v>
      </c>
      <c r="L723" s="12">
        <v>0</v>
      </c>
      <c r="M723" s="8">
        <v>2014</v>
      </c>
      <c r="N723" s="9">
        <v>0</v>
      </c>
      <c r="O723" s="9">
        <v>0</v>
      </c>
      <c r="P723" s="9">
        <v>0</v>
      </c>
      <c r="Q723" s="9">
        <v>0</v>
      </c>
      <c r="R723" s="13">
        <v>41815</v>
      </c>
      <c r="S723" s="13">
        <v>41815</v>
      </c>
    </row>
    <row r="724" spans="1:19">
      <c r="A724" s="10">
        <v>2014</v>
      </c>
      <c r="B724" s="11" t="s">
        <v>483</v>
      </c>
      <c r="C724" s="11" t="s">
        <v>484</v>
      </c>
      <c r="D724" s="12">
        <v>1015042</v>
      </c>
      <c r="E724" s="12">
        <v>2</v>
      </c>
      <c r="F724" s="12"/>
      <c r="G724" s="12">
        <v>660</v>
      </c>
      <c r="H724" s="12">
        <v>12</v>
      </c>
      <c r="I724" s="12"/>
      <c r="J724" s="12" t="s">
        <v>97</v>
      </c>
      <c r="K724" s="12" t="b">
        <v>1</v>
      </c>
      <c r="L724" s="12">
        <v>1</v>
      </c>
      <c r="M724" s="8">
        <v>2015</v>
      </c>
      <c r="N724" s="9">
        <v>0</v>
      </c>
      <c r="O724" s="9">
        <v>0</v>
      </c>
      <c r="P724" s="9">
        <v>0</v>
      </c>
      <c r="Q724" s="9">
        <v>0</v>
      </c>
      <c r="R724" s="13">
        <v>41815</v>
      </c>
      <c r="S724" s="13">
        <v>41815</v>
      </c>
    </row>
    <row r="725" spans="1:19">
      <c r="A725" s="10">
        <v>2014</v>
      </c>
      <c r="B725" s="11" t="s">
        <v>483</v>
      </c>
      <c r="C725" s="11" t="s">
        <v>484</v>
      </c>
      <c r="D725" s="12">
        <v>1015042</v>
      </c>
      <c r="E725" s="12">
        <v>2</v>
      </c>
      <c r="F725" s="12"/>
      <c r="G725" s="12">
        <v>660</v>
      </c>
      <c r="H725" s="12">
        <v>12</v>
      </c>
      <c r="I725" s="12"/>
      <c r="J725" s="12" t="s">
        <v>97</v>
      </c>
      <c r="K725" s="12" t="b">
        <v>1</v>
      </c>
      <c r="L725" s="12">
        <v>5</v>
      </c>
      <c r="M725" s="8">
        <v>2019</v>
      </c>
      <c r="N725" s="9">
        <v>0</v>
      </c>
      <c r="O725" s="9">
        <v>0</v>
      </c>
      <c r="P725" s="9">
        <v>0</v>
      </c>
      <c r="Q725" s="9">
        <v>0</v>
      </c>
      <c r="R725" s="13">
        <v>41815</v>
      </c>
      <c r="S725" s="13">
        <v>41815</v>
      </c>
    </row>
    <row r="726" spans="1:19">
      <c r="A726" s="10">
        <v>2014</v>
      </c>
      <c r="B726" s="11" t="s">
        <v>483</v>
      </c>
      <c r="C726" s="11" t="s">
        <v>484</v>
      </c>
      <c r="D726" s="12">
        <v>1015042</v>
      </c>
      <c r="E726" s="12">
        <v>2</v>
      </c>
      <c r="F726" s="12"/>
      <c r="G726" s="12">
        <v>660</v>
      </c>
      <c r="H726" s="12">
        <v>12</v>
      </c>
      <c r="I726" s="12"/>
      <c r="J726" s="12" t="s">
        <v>97</v>
      </c>
      <c r="K726" s="12" t="b">
        <v>1</v>
      </c>
      <c r="L726" s="12">
        <v>7</v>
      </c>
      <c r="M726" s="8">
        <v>2021</v>
      </c>
      <c r="N726" s="9">
        <v>0</v>
      </c>
      <c r="O726" s="9">
        <v>0</v>
      </c>
      <c r="P726" s="9">
        <v>0</v>
      </c>
      <c r="Q726" s="9">
        <v>0</v>
      </c>
      <c r="R726" s="13">
        <v>41815</v>
      </c>
      <c r="S726" s="13">
        <v>41815</v>
      </c>
    </row>
    <row r="727" spans="1:19">
      <c r="A727" s="10">
        <v>2014</v>
      </c>
      <c r="B727" s="11" t="s">
        <v>483</v>
      </c>
      <c r="C727" s="11" t="s">
        <v>484</v>
      </c>
      <c r="D727" s="12">
        <v>1015042</v>
      </c>
      <c r="E727" s="12">
        <v>2</v>
      </c>
      <c r="F727" s="12"/>
      <c r="G727" s="12">
        <v>660</v>
      </c>
      <c r="H727" s="12">
        <v>12</v>
      </c>
      <c r="I727" s="12"/>
      <c r="J727" s="12" t="s">
        <v>97</v>
      </c>
      <c r="K727" s="12" t="b">
        <v>1</v>
      </c>
      <c r="L727" s="12">
        <v>3</v>
      </c>
      <c r="M727" s="8">
        <v>2017</v>
      </c>
      <c r="N727" s="9">
        <v>0</v>
      </c>
      <c r="O727" s="9">
        <v>0</v>
      </c>
      <c r="P727" s="9">
        <v>0</v>
      </c>
      <c r="Q727" s="9">
        <v>0</v>
      </c>
      <c r="R727" s="13">
        <v>41815</v>
      </c>
      <c r="S727" s="13">
        <v>41815</v>
      </c>
    </row>
    <row r="728" spans="1:19">
      <c r="A728" s="10">
        <v>2014</v>
      </c>
      <c r="B728" s="11" t="s">
        <v>483</v>
      </c>
      <c r="C728" s="11" t="s">
        <v>484</v>
      </c>
      <c r="D728" s="12">
        <v>1015042</v>
      </c>
      <c r="E728" s="12">
        <v>2</v>
      </c>
      <c r="F728" s="12"/>
      <c r="G728" s="12">
        <v>660</v>
      </c>
      <c r="H728" s="12">
        <v>12</v>
      </c>
      <c r="I728" s="12"/>
      <c r="J728" s="12" t="s">
        <v>97</v>
      </c>
      <c r="K728" s="12" t="b">
        <v>1</v>
      </c>
      <c r="L728" s="12">
        <v>2</v>
      </c>
      <c r="M728" s="8">
        <v>2016</v>
      </c>
      <c r="N728" s="9">
        <v>0</v>
      </c>
      <c r="O728" s="9">
        <v>0</v>
      </c>
      <c r="P728" s="9">
        <v>0</v>
      </c>
      <c r="Q728" s="9">
        <v>0</v>
      </c>
      <c r="R728" s="13">
        <v>41815</v>
      </c>
      <c r="S728" s="13">
        <v>41815</v>
      </c>
    </row>
    <row r="729" spans="1:19">
      <c r="A729" s="10">
        <v>2014</v>
      </c>
      <c r="B729" s="11" t="s">
        <v>483</v>
      </c>
      <c r="C729" s="11" t="s">
        <v>484</v>
      </c>
      <c r="D729" s="12">
        <v>1015042</v>
      </c>
      <c r="E729" s="12">
        <v>2</v>
      </c>
      <c r="F729" s="12"/>
      <c r="G729" s="12">
        <v>660</v>
      </c>
      <c r="H729" s="12">
        <v>12</v>
      </c>
      <c r="I729" s="12"/>
      <c r="J729" s="12" t="s">
        <v>97</v>
      </c>
      <c r="K729" s="12" t="b">
        <v>1</v>
      </c>
      <c r="L729" s="12">
        <v>8</v>
      </c>
      <c r="M729" s="8">
        <v>2022</v>
      </c>
      <c r="N729" s="9">
        <v>0</v>
      </c>
      <c r="O729" s="9">
        <v>0</v>
      </c>
      <c r="P729" s="9">
        <v>0</v>
      </c>
      <c r="Q729" s="9">
        <v>0</v>
      </c>
      <c r="R729" s="13">
        <v>41815</v>
      </c>
      <c r="S729" s="13">
        <v>41815</v>
      </c>
    </row>
    <row r="730" spans="1:19">
      <c r="A730" s="10">
        <v>2014</v>
      </c>
      <c r="B730" s="11" t="s">
        <v>483</v>
      </c>
      <c r="C730" s="11" t="s">
        <v>484</v>
      </c>
      <c r="D730" s="12">
        <v>1015042</v>
      </c>
      <c r="E730" s="12">
        <v>2</v>
      </c>
      <c r="F730" s="12"/>
      <c r="G730" s="12">
        <v>660</v>
      </c>
      <c r="H730" s="12">
        <v>12</v>
      </c>
      <c r="I730" s="12"/>
      <c r="J730" s="12" t="s">
        <v>97</v>
      </c>
      <c r="K730" s="12" t="b">
        <v>1</v>
      </c>
      <c r="L730" s="12">
        <v>6</v>
      </c>
      <c r="M730" s="8">
        <v>2020</v>
      </c>
      <c r="N730" s="9">
        <v>0</v>
      </c>
      <c r="O730" s="9">
        <v>0</v>
      </c>
      <c r="P730" s="9">
        <v>0</v>
      </c>
      <c r="Q730" s="9">
        <v>0</v>
      </c>
      <c r="R730" s="13">
        <v>41815</v>
      </c>
      <c r="S730" s="13">
        <v>41815</v>
      </c>
    </row>
    <row r="731" spans="1:19">
      <c r="A731" s="10">
        <v>2014</v>
      </c>
      <c r="B731" s="11" t="s">
        <v>483</v>
      </c>
      <c r="C731" s="11" t="s">
        <v>484</v>
      </c>
      <c r="D731" s="12">
        <v>1015042</v>
      </c>
      <c r="E731" s="12">
        <v>2</v>
      </c>
      <c r="F731" s="12"/>
      <c r="G731" s="12">
        <v>660</v>
      </c>
      <c r="H731" s="12">
        <v>12</v>
      </c>
      <c r="I731" s="12"/>
      <c r="J731" s="12" t="s">
        <v>97</v>
      </c>
      <c r="K731" s="12" t="b">
        <v>1</v>
      </c>
      <c r="L731" s="12">
        <v>4</v>
      </c>
      <c r="M731" s="8">
        <v>2018</v>
      </c>
      <c r="N731" s="9">
        <v>0</v>
      </c>
      <c r="O731" s="9">
        <v>0</v>
      </c>
      <c r="P731" s="9">
        <v>0</v>
      </c>
      <c r="Q731" s="9">
        <v>0</v>
      </c>
      <c r="R731" s="13">
        <v>41815</v>
      </c>
      <c r="S731" s="13">
        <v>41815</v>
      </c>
    </row>
    <row r="732" spans="1:19">
      <c r="A732" s="10">
        <v>2014</v>
      </c>
      <c r="B732" s="11" t="s">
        <v>483</v>
      </c>
      <c r="C732" s="11" t="s">
        <v>484</v>
      </c>
      <c r="D732" s="12">
        <v>1015042</v>
      </c>
      <c r="E732" s="12">
        <v>2</v>
      </c>
      <c r="F732" s="12"/>
      <c r="G732" s="12">
        <v>980</v>
      </c>
      <c r="H732" s="12">
        <v>15.2</v>
      </c>
      <c r="I732" s="12"/>
      <c r="J732" s="12" t="s">
        <v>417</v>
      </c>
      <c r="K732" s="12" t="b">
        <v>1</v>
      </c>
      <c r="L732" s="12">
        <v>1</v>
      </c>
      <c r="M732" s="8">
        <v>2015</v>
      </c>
      <c r="N732" s="9">
        <v>0</v>
      </c>
      <c r="O732" s="9">
        <v>0</v>
      </c>
      <c r="P732" s="9">
        <v>0</v>
      </c>
      <c r="Q732" s="9">
        <v>0</v>
      </c>
      <c r="R732" s="13">
        <v>41815</v>
      </c>
      <c r="S732" s="13">
        <v>41815</v>
      </c>
    </row>
    <row r="733" spans="1:19">
      <c r="A733" s="10">
        <v>2014</v>
      </c>
      <c r="B733" s="11" t="s">
        <v>483</v>
      </c>
      <c r="C733" s="11" t="s">
        <v>484</v>
      </c>
      <c r="D733" s="12">
        <v>1015042</v>
      </c>
      <c r="E733" s="12">
        <v>2</v>
      </c>
      <c r="F733" s="12"/>
      <c r="G733" s="12">
        <v>980</v>
      </c>
      <c r="H733" s="12">
        <v>15.2</v>
      </c>
      <c r="I733" s="12"/>
      <c r="J733" s="12" t="s">
        <v>417</v>
      </c>
      <c r="K733" s="12" t="b">
        <v>1</v>
      </c>
      <c r="L733" s="12">
        <v>6</v>
      </c>
      <c r="M733" s="8">
        <v>2020</v>
      </c>
      <c r="N733" s="9">
        <v>0</v>
      </c>
      <c r="O733" s="9">
        <v>0</v>
      </c>
      <c r="P733" s="9">
        <v>0</v>
      </c>
      <c r="Q733" s="9">
        <v>0</v>
      </c>
      <c r="R733" s="13">
        <v>41815</v>
      </c>
      <c r="S733" s="13">
        <v>41815</v>
      </c>
    </row>
    <row r="734" spans="1:19">
      <c r="A734" s="10">
        <v>2014</v>
      </c>
      <c r="B734" s="11" t="s">
        <v>483</v>
      </c>
      <c r="C734" s="11" t="s">
        <v>484</v>
      </c>
      <c r="D734" s="12">
        <v>1015042</v>
      </c>
      <c r="E734" s="12">
        <v>2</v>
      </c>
      <c r="F734" s="12"/>
      <c r="G734" s="12">
        <v>980</v>
      </c>
      <c r="H734" s="12">
        <v>15.2</v>
      </c>
      <c r="I734" s="12"/>
      <c r="J734" s="12" t="s">
        <v>417</v>
      </c>
      <c r="K734" s="12" t="b">
        <v>1</v>
      </c>
      <c r="L734" s="12">
        <v>8</v>
      </c>
      <c r="M734" s="8">
        <v>2022</v>
      </c>
      <c r="N734" s="9">
        <v>0</v>
      </c>
      <c r="O734" s="9">
        <v>0</v>
      </c>
      <c r="P734" s="9">
        <v>0</v>
      </c>
      <c r="Q734" s="9">
        <v>0</v>
      </c>
      <c r="R734" s="13">
        <v>41815</v>
      </c>
      <c r="S734" s="13">
        <v>41815</v>
      </c>
    </row>
    <row r="735" spans="1:19">
      <c r="A735" s="10">
        <v>2014</v>
      </c>
      <c r="B735" s="11" t="s">
        <v>483</v>
      </c>
      <c r="C735" s="11" t="s">
        <v>484</v>
      </c>
      <c r="D735" s="12">
        <v>1015042</v>
      </c>
      <c r="E735" s="12">
        <v>2</v>
      </c>
      <c r="F735" s="12"/>
      <c r="G735" s="12">
        <v>980</v>
      </c>
      <c r="H735" s="12">
        <v>15.2</v>
      </c>
      <c r="I735" s="12"/>
      <c r="J735" s="12" t="s">
        <v>417</v>
      </c>
      <c r="K735" s="12" t="b">
        <v>1</v>
      </c>
      <c r="L735" s="12">
        <v>4</v>
      </c>
      <c r="M735" s="8">
        <v>2018</v>
      </c>
      <c r="N735" s="9">
        <v>0</v>
      </c>
      <c r="O735" s="9">
        <v>0</v>
      </c>
      <c r="P735" s="9">
        <v>0</v>
      </c>
      <c r="Q735" s="9">
        <v>0</v>
      </c>
      <c r="R735" s="13">
        <v>41815</v>
      </c>
      <c r="S735" s="13">
        <v>41815</v>
      </c>
    </row>
    <row r="736" spans="1:19">
      <c r="A736" s="10">
        <v>2014</v>
      </c>
      <c r="B736" s="11" t="s">
        <v>483</v>
      </c>
      <c r="C736" s="11" t="s">
        <v>484</v>
      </c>
      <c r="D736" s="12">
        <v>1015042</v>
      </c>
      <c r="E736" s="12">
        <v>2</v>
      </c>
      <c r="F736" s="12"/>
      <c r="G736" s="12">
        <v>980</v>
      </c>
      <c r="H736" s="12">
        <v>15.2</v>
      </c>
      <c r="I736" s="12"/>
      <c r="J736" s="12" t="s">
        <v>417</v>
      </c>
      <c r="K736" s="12" t="b">
        <v>1</v>
      </c>
      <c r="L736" s="12">
        <v>2</v>
      </c>
      <c r="M736" s="8">
        <v>2016</v>
      </c>
      <c r="N736" s="9">
        <v>0</v>
      </c>
      <c r="O736" s="9">
        <v>0</v>
      </c>
      <c r="P736" s="9">
        <v>0</v>
      </c>
      <c r="Q736" s="9">
        <v>0</v>
      </c>
      <c r="R736" s="13">
        <v>41815</v>
      </c>
      <c r="S736" s="13">
        <v>41815</v>
      </c>
    </row>
    <row r="737" spans="1:19">
      <c r="A737" s="10">
        <v>2014</v>
      </c>
      <c r="B737" s="11" t="s">
        <v>483</v>
      </c>
      <c r="C737" s="11" t="s">
        <v>484</v>
      </c>
      <c r="D737" s="12">
        <v>1015042</v>
      </c>
      <c r="E737" s="12">
        <v>2</v>
      </c>
      <c r="F737" s="12"/>
      <c r="G737" s="12">
        <v>980</v>
      </c>
      <c r="H737" s="12">
        <v>15.2</v>
      </c>
      <c r="I737" s="12"/>
      <c r="J737" s="12" t="s">
        <v>417</v>
      </c>
      <c r="K737" s="12" t="b">
        <v>1</v>
      </c>
      <c r="L737" s="12">
        <v>3</v>
      </c>
      <c r="M737" s="8">
        <v>2017</v>
      </c>
      <c r="N737" s="9">
        <v>0</v>
      </c>
      <c r="O737" s="9">
        <v>0</v>
      </c>
      <c r="P737" s="9">
        <v>0</v>
      </c>
      <c r="Q737" s="9">
        <v>0</v>
      </c>
      <c r="R737" s="13">
        <v>41815</v>
      </c>
      <c r="S737" s="13">
        <v>41815</v>
      </c>
    </row>
    <row r="738" spans="1:19">
      <c r="A738" s="10">
        <v>2014</v>
      </c>
      <c r="B738" s="11" t="s">
        <v>483</v>
      </c>
      <c r="C738" s="11" t="s">
        <v>484</v>
      </c>
      <c r="D738" s="12">
        <v>1015042</v>
      </c>
      <c r="E738" s="12">
        <v>2</v>
      </c>
      <c r="F738" s="12"/>
      <c r="G738" s="12">
        <v>980</v>
      </c>
      <c r="H738" s="12">
        <v>15.2</v>
      </c>
      <c r="I738" s="12"/>
      <c r="J738" s="12" t="s">
        <v>417</v>
      </c>
      <c r="K738" s="12" t="b">
        <v>1</v>
      </c>
      <c r="L738" s="12">
        <v>0</v>
      </c>
      <c r="M738" s="8">
        <v>2014</v>
      </c>
      <c r="N738" s="9">
        <v>0</v>
      </c>
      <c r="O738" s="9">
        <v>0</v>
      </c>
      <c r="P738" s="9">
        <v>0</v>
      </c>
      <c r="Q738" s="9">
        <v>0</v>
      </c>
      <c r="R738" s="13">
        <v>41815</v>
      </c>
      <c r="S738" s="13">
        <v>41815</v>
      </c>
    </row>
    <row r="739" spans="1:19">
      <c r="A739" s="10">
        <v>2014</v>
      </c>
      <c r="B739" s="11" t="s">
        <v>483</v>
      </c>
      <c r="C739" s="11" t="s">
        <v>484</v>
      </c>
      <c r="D739" s="12">
        <v>1015042</v>
      </c>
      <c r="E739" s="12">
        <v>2</v>
      </c>
      <c r="F739" s="12"/>
      <c r="G739" s="12">
        <v>980</v>
      </c>
      <c r="H739" s="12">
        <v>15.2</v>
      </c>
      <c r="I739" s="12"/>
      <c r="J739" s="12" t="s">
        <v>417</v>
      </c>
      <c r="K739" s="12" t="b">
        <v>1</v>
      </c>
      <c r="L739" s="12">
        <v>5</v>
      </c>
      <c r="M739" s="8">
        <v>2019</v>
      </c>
      <c r="N739" s="9">
        <v>0</v>
      </c>
      <c r="O739" s="9">
        <v>0</v>
      </c>
      <c r="P739" s="9">
        <v>0</v>
      </c>
      <c r="Q739" s="9">
        <v>0</v>
      </c>
      <c r="R739" s="13">
        <v>41815</v>
      </c>
      <c r="S739" s="13">
        <v>41815</v>
      </c>
    </row>
    <row r="740" spans="1:19">
      <c r="A740" s="10">
        <v>2014</v>
      </c>
      <c r="B740" s="11" t="s">
        <v>483</v>
      </c>
      <c r="C740" s="11" t="s">
        <v>484</v>
      </c>
      <c r="D740" s="12">
        <v>1015042</v>
      </c>
      <c r="E740" s="12">
        <v>2</v>
      </c>
      <c r="F740" s="12"/>
      <c r="G740" s="12">
        <v>980</v>
      </c>
      <c r="H740" s="12">
        <v>15.2</v>
      </c>
      <c r="I740" s="12"/>
      <c r="J740" s="12" t="s">
        <v>417</v>
      </c>
      <c r="K740" s="12" t="b">
        <v>1</v>
      </c>
      <c r="L740" s="12">
        <v>7</v>
      </c>
      <c r="M740" s="8">
        <v>2021</v>
      </c>
      <c r="N740" s="9">
        <v>0</v>
      </c>
      <c r="O740" s="9">
        <v>0</v>
      </c>
      <c r="P740" s="9">
        <v>0</v>
      </c>
      <c r="Q740" s="9">
        <v>0</v>
      </c>
      <c r="R740" s="13">
        <v>41815</v>
      </c>
      <c r="S740" s="13">
        <v>41815</v>
      </c>
    </row>
    <row r="741" spans="1:19">
      <c r="A741" s="10">
        <v>2014</v>
      </c>
      <c r="B741" s="11" t="s">
        <v>483</v>
      </c>
      <c r="C741" s="11" t="s">
        <v>484</v>
      </c>
      <c r="D741" s="12">
        <v>1015042</v>
      </c>
      <c r="E741" s="12">
        <v>2</v>
      </c>
      <c r="F741" s="12"/>
      <c r="G741" s="12">
        <v>910</v>
      </c>
      <c r="H741" s="12" t="s">
        <v>130</v>
      </c>
      <c r="I741" s="12"/>
      <c r="J741" s="12" t="s">
        <v>131</v>
      </c>
      <c r="K741" s="12" t="b">
        <v>1</v>
      </c>
      <c r="L741" s="12">
        <v>1</v>
      </c>
      <c r="M741" s="8">
        <v>2015</v>
      </c>
      <c r="N741" s="9">
        <v>0</v>
      </c>
      <c r="O741" s="9">
        <v>0</v>
      </c>
      <c r="P741" s="9">
        <v>0</v>
      </c>
      <c r="Q741" s="9">
        <v>0</v>
      </c>
      <c r="R741" s="13">
        <v>41815</v>
      </c>
      <c r="S741" s="13">
        <v>41815</v>
      </c>
    </row>
    <row r="742" spans="1:19">
      <c r="A742" s="10">
        <v>2014</v>
      </c>
      <c r="B742" s="11" t="s">
        <v>483</v>
      </c>
      <c r="C742" s="11" t="s">
        <v>484</v>
      </c>
      <c r="D742" s="12">
        <v>1015042</v>
      </c>
      <c r="E742" s="12">
        <v>2</v>
      </c>
      <c r="F742" s="12"/>
      <c r="G742" s="12">
        <v>910</v>
      </c>
      <c r="H742" s="12" t="s">
        <v>130</v>
      </c>
      <c r="I742" s="12"/>
      <c r="J742" s="12" t="s">
        <v>131</v>
      </c>
      <c r="K742" s="12" t="b">
        <v>1</v>
      </c>
      <c r="L742" s="12">
        <v>3</v>
      </c>
      <c r="M742" s="8">
        <v>2017</v>
      </c>
      <c r="N742" s="9">
        <v>0</v>
      </c>
      <c r="O742" s="9">
        <v>0</v>
      </c>
      <c r="P742" s="9">
        <v>0</v>
      </c>
      <c r="Q742" s="9">
        <v>0</v>
      </c>
      <c r="R742" s="13">
        <v>41815</v>
      </c>
      <c r="S742" s="13">
        <v>41815</v>
      </c>
    </row>
    <row r="743" spans="1:19">
      <c r="A743" s="10">
        <v>2014</v>
      </c>
      <c r="B743" s="11" t="s">
        <v>483</v>
      </c>
      <c r="C743" s="11" t="s">
        <v>484</v>
      </c>
      <c r="D743" s="12">
        <v>1015042</v>
      </c>
      <c r="E743" s="12">
        <v>2</v>
      </c>
      <c r="F743" s="12"/>
      <c r="G743" s="12">
        <v>910</v>
      </c>
      <c r="H743" s="12" t="s">
        <v>130</v>
      </c>
      <c r="I743" s="12"/>
      <c r="J743" s="12" t="s">
        <v>131</v>
      </c>
      <c r="K743" s="12" t="b">
        <v>1</v>
      </c>
      <c r="L743" s="12">
        <v>2</v>
      </c>
      <c r="M743" s="8">
        <v>2016</v>
      </c>
      <c r="N743" s="9">
        <v>0</v>
      </c>
      <c r="O743" s="9">
        <v>0</v>
      </c>
      <c r="P743" s="9">
        <v>0</v>
      </c>
      <c r="Q743" s="9">
        <v>0</v>
      </c>
      <c r="R743" s="13">
        <v>41815</v>
      </c>
      <c r="S743" s="13">
        <v>41815</v>
      </c>
    </row>
    <row r="744" spans="1:19">
      <c r="A744" s="10">
        <v>2014</v>
      </c>
      <c r="B744" s="11" t="s">
        <v>483</v>
      </c>
      <c r="C744" s="11" t="s">
        <v>484</v>
      </c>
      <c r="D744" s="12">
        <v>1015042</v>
      </c>
      <c r="E744" s="12">
        <v>2</v>
      </c>
      <c r="F744" s="12"/>
      <c r="G744" s="12">
        <v>910</v>
      </c>
      <c r="H744" s="12" t="s">
        <v>130</v>
      </c>
      <c r="I744" s="12"/>
      <c r="J744" s="12" t="s">
        <v>131</v>
      </c>
      <c r="K744" s="12" t="b">
        <v>1</v>
      </c>
      <c r="L744" s="12">
        <v>4</v>
      </c>
      <c r="M744" s="8">
        <v>2018</v>
      </c>
      <c r="N744" s="9">
        <v>0</v>
      </c>
      <c r="O744" s="9">
        <v>0</v>
      </c>
      <c r="P744" s="9">
        <v>0</v>
      </c>
      <c r="Q744" s="9">
        <v>0</v>
      </c>
      <c r="R744" s="13">
        <v>41815</v>
      </c>
      <c r="S744" s="13">
        <v>41815</v>
      </c>
    </row>
    <row r="745" spans="1:19">
      <c r="A745" s="10">
        <v>2014</v>
      </c>
      <c r="B745" s="11" t="s">
        <v>483</v>
      </c>
      <c r="C745" s="11" t="s">
        <v>484</v>
      </c>
      <c r="D745" s="12">
        <v>1015042</v>
      </c>
      <c r="E745" s="12">
        <v>2</v>
      </c>
      <c r="F745" s="12"/>
      <c r="G745" s="12">
        <v>910</v>
      </c>
      <c r="H745" s="12" t="s">
        <v>130</v>
      </c>
      <c r="I745" s="12"/>
      <c r="J745" s="12" t="s">
        <v>131</v>
      </c>
      <c r="K745" s="12" t="b">
        <v>1</v>
      </c>
      <c r="L745" s="12">
        <v>6</v>
      </c>
      <c r="M745" s="8">
        <v>2020</v>
      </c>
      <c r="N745" s="9">
        <v>0</v>
      </c>
      <c r="O745" s="9">
        <v>0</v>
      </c>
      <c r="P745" s="9">
        <v>0</v>
      </c>
      <c r="Q745" s="9">
        <v>0</v>
      </c>
      <c r="R745" s="13">
        <v>41815</v>
      </c>
      <c r="S745" s="13">
        <v>41815</v>
      </c>
    </row>
    <row r="746" spans="1:19">
      <c r="A746" s="10">
        <v>2014</v>
      </c>
      <c r="B746" s="11" t="s">
        <v>483</v>
      </c>
      <c r="C746" s="11" t="s">
        <v>484</v>
      </c>
      <c r="D746" s="12">
        <v>1015042</v>
      </c>
      <c r="E746" s="12">
        <v>2</v>
      </c>
      <c r="F746" s="12"/>
      <c r="G746" s="12">
        <v>910</v>
      </c>
      <c r="H746" s="12" t="s">
        <v>130</v>
      </c>
      <c r="I746" s="12"/>
      <c r="J746" s="12" t="s">
        <v>131</v>
      </c>
      <c r="K746" s="12" t="b">
        <v>1</v>
      </c>
      <c r="L746" s="12">
        <v>7</v>
      </c>
      <c r="M746" s="8">
        <v>2021</v>
      </c>
      <c r="N746" s="9">
        <v>0</v>
      </c>
      <c r="O746" s="9">
        <v>0</v>
      </c>
      <c r="P746" s="9">
        <v>0</v>
      </c>
      <c r="Q746" s="9">
        <v>0</v>
      </c>
      <c r="R746" s="13">
        <v>41815</v>
      </c>
      <c r="S746" s="13">
        <v>41815</v>
      </c>
    </row>
    <row r="747" spans="1:19">
      <c r="A747" s="10">
        <v>2014</v>
      </c>
      <c r="B747" s="11" t="s">
        <v>483</v>
      </c>
      <c r="C747" s="11" t="s">
        <v>484</v>
      </c>
      <c r="D747" s="12">
        <v>1015042</v>
      </c>
      <c r="E747" s="12">
        <v>2</v>
      </c>
      <c r="F747" s="12"/>
      <c r="G747" s="12">
        <v>910</v>
      </c>
      <c r="H747" s="12" t="s">
        <v>130</v>
      </c>
      <c r="I747" s="12"/>
      <c r="J747" s="12" t="s">
        <v>131</v>
      </c>
      <c r="K747" s="12" t="b">
        <v>1</v>
      </c>
      <c r="L747" s="12">
        <v>0</v>
      </c>
      <c r="M747" s="8">
        <v>2014</v>
      </c>
      <c r="N747" s="9">
        <v>0</v>
      </c>
      <c r="O747" s="9">
        <v>0</v>
      </c>
      <c r="P747" s="9">
        <v>0</v>
      </c>
      <c r="Q747" s="9">
        <v>0</v>
      </c>
      <c r="R747" s="13">
        <v>41815</v>
      </c>
      <c r="S747" s="13">
        <v>41815</v>
      </c>
    </row>
    <row r="748" spans="1:19">
      <c r="A748" s="10">
        <v>2014</v>
      </c>
      <c r="B748" s="11" t="s">
        <v>483</v>
      </c>
      <c r="C748" s="11" t="s">
        <v>484</v>
      </c>
      <c r="D748" s="12">
        <v>1015042</v>
      </c>
      <c r="E748" s="12">
        <v>2</v>
      </c>
      <c r="F748" s="12"/>
      <c r="G748" s="12">
        <v>910</v>
      </c>
      <c r="H748" s="12" t="s">
        <v>130</v>
      </c>
      <c r="I748" s="12"/>
      <c r="J748" s="12" t="s">
        <v>131</v>
      </c>
      <c r="K748" s="12" t="b">
        <v>1</v>
      </c>
      <c r="L748" s="12">
        <v>5</v>
      </c>
      <c r="M748" s="8">
        <v>2019</v>
      </c>
      <c r="N748" s="9">
        <v>0</v>
      </c>
      <c r="O748" s="9">
        <v>0</v>
      </c>
      <c r="P748" s="9">
        <v>0</v>
      </c>
      <c r="Q748" s="9">
        <v>0</v>
      </c>
      <c r="R748" s="13">
        <v>41815</v>
      </c>
      <c r="S748" s="13">
        <v>41815</v>
      </c>
    </row>
    <row r="749" spans="1:19">
      <c r="A749" s="10">
        <v>2014</v>
      </c>
      <c r="B749" s="11" t="s">
        <v>483</v>
      </c>
      <c r="C749" s="11" t="s">
        <v>484</v>
      </c>
      <c r="D749" s="12">
        <v>1015042</v>
      </c>
      <c r="E749" s="12">
        <v>2</v>
      </c>
      <c r="F749" s="12"/>
      <c r="G749" s="12">
        <v>910</v>
      </c>
      <c r="H749" s="12" t="s">
        <v>130</v>
      </c>
      <c r="I749" s="12"/>
      <c r="J749" s="12" t="s">
        <v>131</v>
      </c>
      <c r="K749" s="12" t="b">
        <v>1</v>
      </c>
      <c r="L749" s="12">
        <v>8</v>
      </c>
      <c r="M749" s="8">
        <v>2022</v>
      </c>
      <c r="N749" s="9">
        <v>0</v>
      </c>
      <c r="O749" s="9">
        <v>0</v>
      </c>
      <c r="P749" s="9">
        <v>0</v>
      </c>
      <c r="Q749" s="9">
        <v>0</v>
      </c>
      <c r="R749" s="13">
        <v>41815</v>
      </c>
      <c r="S749" s="13">
        <v>41815</v>
      </c>
    </row>
    <row r="750" spans="1:19">
      <c r="A750" s="10">
        <v>2014</v>
      </c>
      <c r="B750" s="11" t="s">
        <v>483</v>
      </c>
      <c r="C750" s="11" t="s">
        <v>484</v>
      </c>
      <c r="D750" s="12">
        <v>1015042</v>
      </c>
      <c r="E750" s="12">
        <v>2</v>
      </c>
      <c r="F750" s="12"/>
      <c r="G750" s="12">
        <v>240</v>
      </c>
      <c r="H750" s="12">
        <v>4.2</v>
      </c>
      <c r="I750" s="12"/>
      <c r="J750" s="12" t="s">
        <v>69</v>
      </c>
      <c r="K750" s="12" t="b">
        <v>0</v>
      </c>
      <c r="L750" s="12">
        <v>1</v>
      </c>
      <c r="M750" s="8">
        <v>2015</v>
      </c>
      <c r="N750" s="9">
        <v>627720.4</v>
      </c>
      <c r="O750" s="9">
        <v>268964.28000000003</v>
      </c>
      <c r="P750" s="9">
        <v>411991</v>
      </c>
      <c r="Q750" s="9">
        <v>411991.78</v>
      </c>
      <c r="R750" s="13">
        <v>41815</v>
      </c>
      <c r="S750" s="13">
        <v>41815</v>
      </c>
    </row>
    <row r="751" spans="1:19">
      <c r="A751" s="10">
        <v>2014</v>
      </c>
      <c r="B751" s="11" t="s">
        <v>483</v>
      </c>
      <c r="C751" s="11" t="s">
        <v>484</v>
      </c>
      <c r="D751" s="12">
        <v>1015042</v>
      </c>
      <c r="E751" s="12">
        <v>2</v>
      </c>
      <c r="F751" s="12"/>
      <c r="G751" s="12">
        <v>240</v>
      </c>
      <c r="H751" s="12">
        <v>4.2</v>
      </c>
      <c r="I751" s="12"/>
      <c r="J751" s="12" t="s">
        <v>69</v>
      </c>
      <c r="K751" s="12" t="b">
        <v>0</v>
      </c>
      <c r="L751" s="12">
        <v>0</v>
      </c>
      <c r="M751" s="8">
        <v>2014</v>
      </c>
      <c r="N751" s="9">
        <v>627720.4</v>
      </c>
      <c r="O751" s="9">
        <v>268964.28000000003</v>
      </c>
      <c r="P751" s="9">
        <v>411991</v>
      </c>
      <c r="Q751" s="9">
        <v>411991.78</v>
      </c>
      <c r="R751" s="13">
        <v>41815</v>
      </c>
      <c r="S751" s="13">
        <v>41815</v>
      </c>
    </row>
    <row r="752" spans="1:19">
      <c r="A752" s="10">
        <v>2014</v>
      </c>
      <c r="B752" s="11" t="s">
        <v>483</v>
      </c>
      <c r="C752" s="11" t="s">
        <v>484</v>
      </c>
      <c r="D752" s="12">
        <v>1015042</v>
      </c>
      <c r="E752" s="12">
        <v>2</v>
      </c>
      <c r="F752" s="12"/>
      <c r="G752" s="12">
        <v>240</v>
      </c>
      <c r="H752" s="12">
        <v>4.2</v>
      </c>
      <c r="I752" s="12"/>
      <c r="J752" s="12" t="s">
        <v>69</v>
      </c>
      <c r="K752" s="12" t="b">
        <v>0</v>
      </c>
      <c r="L752" s="12">
        <v>7</v>
      </c>
      <c r="M752" s="8">
        <v>2021</v>
      </c>
      <c r="N752" s="9">
        <v>627720.4</v>
      </c>
      <c r="O752" s="9">
        <v>268964.28000000003</v>
      </c>
      <c r="P752" s="9">
        <v>411991</v>
      </c>
      <c r="Q752" s="9">
        <v>411991.78</v>
      </c>
      <c r="R752" s="13">
        <v>41815</v>
      </c>
      <c r="S752" s="13">
        <v>41815</v>
      </c>
    </row>
    <row r="753" spans="1:19">
      <c r="A753" s="10">
        <v>2014</v>
      </c>
      <c r="B753" s="11" t="s">
        <v>483</v>
      </c>
      <c r="C753" s="11" t="s">
        <v>484</v>
      </c>
      <c r="D753" s="12">
        <v>1015042</v>
      </c>
      <c r="E753" s="12">
        <v>2</v>
      </c>
      <c r="F753" s="12"/>
      <c r="G753" s="12">
        <v>240</v>
      </c>
      <c r="H753" s="12">
        <v>4.2</v>
      </c>
      <c r="I753" s="12"/>
      <c r="J753" s="12" t="s">
        <v>69</v>
      </c>
      <c r="K753" s="12" t="b">
        <v>0</v>
      </c>
      <c r="L753" s="12">
        <v>8</v>
      </c>
      <c r="M753" s="8">
        <v>2022</v>
      </c>
      <c r="N753" s="9">
        <v>627720.4</v>
      </c>
      <c r="O753" s="9">
        <v>268964.28000000003</v>
      </c>
      <c r="P753" s="9">
        <v>411991</v>
      </c>
      <c r="Q753" s="9">
        <v>411991.78</v>
      </c>
      <c r="R753" s="13">
        <v>41815</v>
      </c>
      <c r="S753" s="13">
        <v>41815</v>
      </c>
    </row>
    <row r="754" spans="1:19">
      <c r="A754" s="10">
        <v>2014</v>
      </c>
      <c r="B754" s="11" t="s">
        <v>483</v>
      </c>
      <c r="C754" s="11" t="s">
        <v>484</v>
      </c>
      <c r="D754" s="12">
        <v>1015042</v>
      </c>
      <c r="E754" s="12">
        <v>2</v>
      </c>
      <c r="F754" s="12"/>
      <c r="G754" s="12">
        <v>240</v>
      </c>
      <c r="H754" s="12">
        <v>4.2</v>
      </c>
      <c r="I754" s="12"/>
      <c r="J754" s="12" t="s">
        <v>69</v>
      </c>
      <c r="K754" s="12" t="b">
        <v>0</v>
      </c>
      <c r="L754" s="12">
        <v>6</v>
      </c>
      <c r="M754" s="8">
        <v>2020</v>
      </c>
      <c r="N754" s="9">
        <v>627720.4</v>
      </c>
      <c r="O754" s="9">
        <v>268964.28000000003</v>
      </c>
      <c r="P754" s="9">
        <v>411991</v>
      </c>
      <c r="Q754" s="9">
        <v>411991.78</v>
      </c>
      <c r="R754" s="13">
        <v>41815</v>
      </c>
      <c r="S754" s="13">
        <v>41815</v>
      </c>
    </row>
    <row r="755" spans="1:19">
      <c r="A755" s="10">
        <v>2014</v>
      </c>
      <c r="B755" s="11" t="s">
        <v>483</v>
      </c>
      <c r="C755" s="11" t="s">
        <v>484</v>
      </c>
      <c r="D755" s="12">
        <v>1015042</v>
      </c>
      <c r="E755" s="12">
        <v>2</v>
      </c>
      <c r="F755" s="12"/>
      <c r="G755" s="12">
        <v>240</v>
      </c>
      <c r="H755" s="12">
        <v>4.2</v>
      </c>
      <c r="I755" s="12"/>
      <c r="J755" s="12" t="s">
        <v>69</v>
      </c>
      <c r="K755" s="12" t="b">
        <v>0</v>
      </c>
      <c r="L755" s="12">
        <v>5</v>
      </c>
      <c r="M755" s="8">
        <v>2019</v>
      </c>
      <c r="N755" s="9">
        <v>627720.4</v>
      </c>
      <c r="O755" s="9">
        <v>268964.28000000003</v>
      </c>
      <c r="P755" s="9">
        <v>411991</v>
      </c>
      <c r="Q755" s="9">
        <v>411991.78</v>
      </c>
      <c r="R755" s="13">
        <v>41815</v>
      </c>
      <c r="S755" s="13">
        <v>41815</v>
      </c>
    </row>
    <row r="756" spans="1:19">
      <c r="A756" s="10">
        <v>2014</v>
      </c>
      <c r="B756" s="11" t="s">
        <v>483</v>
      </c>
      <c r="C756" s="11" t="s">
        <v>484</v>
      </c>
      <c r="D756" s="12">
        <v>1015042</v>
      </c>
      <c r="E756" s="12">
        <v>2</v>
      </c>
      <c r="F756" s="12"/>
      <c r="G756" s="12">
        <v>240</v>
      </c>
      <c r="H756" s="12">
        <v>4.2</v>
      </c>
      <c r="I756" s="12"/>
      <c r="J756" s="12" t="s">
        <v>69</v>
      </c>
      <c r="K756" s="12" t="b">
        <v>0</v>
      </c>
      <c r="L756" s="12">
        <v>2</v>
      </c>
      <c r="M756" s="8">
        <v>2016</v>
      </c>
      <c r="N756" s="9">
        <v>627720.4</v>
      </c>
      <c r="O756" s="9">
        <v>268964.28000000003</v>
      </c>
      <c r="P756" s="9">
        <v>411991</v>
      </c>
      <c r="Q756" s="9">
        <v>411991.78</v>
      </c>
      <c r="R756" s="13">
        <v>41815</v>
      </c>
      <c r="S756" s="13">
        <v>41815</v>
      </c>
    </row>
    <row r="757" spans="1:19">
      <c r="A757" s="10">
        <v>2014</v>
      </c>
      <c r="B757" s="11" t="s">
        <v>483</v>
      </c>
      <c r="C757" s="11" t="s">
        <v>484</v>
      </c>
      <c r="D757" s="12">
        <v>1015042</v>
      </c>
      <c r="E757" s="12">
        <v>2</v>
      </c>
      <c r="F757" s="12"/>
      <c r="G757" s="12">
        <v>240</v>
      </c>
      <c r="H757" s="12">
        <v>4.2</v>
      </c>
      <c r="I757" s="12"/>
      <c r="J757" s="12" t="s">
        <v>69</v>
      </c>
      <c r="K757" s="12" t="b">
        <v>0</v>
      </c>
      <c r="L757" s="12">
        <v>3</v>
      </c>
      <c r="M757" s="8">
        <v>2017</v>
      </c>
      <c r="N757" s="9">
        <v>627720.4</v>
      </c>
      <c r="O757" s="9">
        <v>268964.28000000003</v>
      </c>
      <c r="P757" s="9">
        <v>411991</v>
      </c>
      <c r="Q757" s="9">
        <v>411991.78</v>
      </c>
      <c r="R757" s="13">
        <v>41815</v>
      </c>
      <c r="S757" s="13">
        <v>41815</v>
      </c>
    </row>
    <row r="758" spans="1:19">
      <c r="A758" s="10">
        <v>2014</v>
      </c>
      <c r="B758" s="11" t="s">
        <v>483</v>
      </c>
      <c r="C758" s="11" t="s">
        <v>484</v>
      </c>
      <c r="D758" s="12">
        <v>1015042</v>
      </c>
      <c r="E758" s="12">
        <v>2</v>
      </c>
      <c r="F758" s="12"/>
      <c r="G758" s="12">
        <v>240</v>
      </c>
      <c r="H758" s="12">
        <v>4.2</v>
      </c>
      <c r="I758" s="12"/>
      <c r="J758" s="12" t="s">
        <v>69</v>
      </c>
      <c r="K758" s="12" t="b">
        <v>0</v>
      </c>
      <c r="L758" s="12">
        <v>4</v>
      </c>
      <c r="M758" s="8">
        <v>2018</v>
      </c>
      <c r="N758" s="9">
        <v>627720.4</v>
      </c>
      <c r="O758" s="9">
        <v>268964.28000000003</v>
      </c>
      <c r="P758" s="9">
        <v>411991</v>
      </c>
      <c r="Q758" s="9">
        <v>411991.78</v>
      </c>
      <c r="R758" s="13">
        <v>41815</v>
      </c>
      <c r="S758" s="13">
        <v>41815</v>
      </c>
    </row>
    <row r="759" spans="1:19">
      <c r="A759" s="10">
        <v>2014</v>
      </c>
      <c r="B759" s="11" t="s">
        <v>483</v>
      </c>
      <c r="C759" s="11" t="s">
        <v>484</v>
      </c>
      <c r="D759" s="12">
        <v>1015042</v>
      </c>
      <c r="E759" s="12">
        <v>2</v>
      </c>
      <c r="F759" s="12"/>
      <c r="G759" s="12">
        <v>160</v>
      </c>
      <c r="H759" s="12" t="s">
        <v>62</v>
      </c>
      <c r="I759" s="12"/>
      <c r="J759" s="12" t="s">
        <v>359</v>
      </c>
      <c r="K759" s="12" t="b">
        <v>1</v>
      </c>
      <c r="L759" s="12">
        <v>4</v>
      </c>
      <c r="M759" s="8">
        <v>2018</v>
      </c>
      <c r="N759" s="9">
        <v>0</v>
      </c>
      <c r="O759" s="9">
        <v>0</v>
      </c>
      <c r="P759" s="9">
        <v>0</v>
      </c>
      <c r="Q759" s="9">
        <v>0</v>
      </c>
      <c r="R759" s="13">
        <v>41815</v>
      </c>
      <c r="S759" s="13">
        <v>41815</v>
      </c>
    </row>
    <row r="760" spans="1:19">
      <c r="A760" s="10">
        <v>2014</v>
      </c>
      <c r="B760" s="11" t="s">
        <v>483</v>
      </c>
      <c r="C760" s="11" t="s">
        <v>484</v>
      </c>
      <c r="D760" s="12">
        <v>1015042</v>
      </c>
      <c r="E760" s="12">
        <v>2</v>
      </c>
      <c r="F760" s="12"/>
      <c r="G760" s="12">
        <v>160</v>
      </c>
      <c r="H760" s="12" t="s">
        <v>62</v>
      </c>
      <c r="I760" s="12"/>
      <c r="J760" s="12" t="s">
        <v>359</v>
      </c>
      <c r="K760" s="12" t="b">
        <v>1</v>
      </c>
      <c r="L760" s="12">
        <v>5</v>
      </c>
      <c r="M760" s="8">
        <v>2019</v>
      </c>
      <c r="N760" s="9">
        <v>0</v>
      </c>
      <c r="O760" s="9">
        <v>0</v>
      </c>
      <c r="P760" s="9">
        <v>0</v>
      </c>
      <c r="Q760" s="9">
        <v>0</v>
      </c>
      <c r="R760" s="13">
        <v>41815</v>
      </c>
      <c r="S760" s="13">
        <v>41815</v>
      </c>
    </row>
    <row r="761" spans="1:19">
      <c r="A761" s="10">
        <v>2014</v>
      </c>
      <c r="B761" s="11" t="s">
        <v>483</v>
      </c>
      <c r="C761" s="11" t="s">
        <v>484</v>
      </c>
      <c r="D761" s="12">
        <v>1015042</v>
      </c>
      <c r="E761" s="12">
        <v>2</v>
      </c>
      <c r="F761" s="12"/>
      <c r="G761" s="12">
        <v>160</v>
      </c>
      <c r="H761" s="12" t="s">
        <v>62</v>
      </c>
      <c r="I761" s="12"/>
      <c r="J761" s="12" t="s">
        <v>359</v>
      </c>
      <c r="K761" s="12" t="b">
        <v>1</v>
      </c>
      <c r="L761" s="12">
        <v>2</v>
      </c>
      <c r="M761" s="8">
        <v>2016</v>
      </c>
      <c r="N761" s="9">
        <v>0</v>
      </c>
      <c r="O761" s="9">
        <v>0</v>
      </c>
      <c r="P761" s="9">
        <v>0</v>
      </c>
      <c r="Q761" s="9">
        <v>0</v>
      </c>
      <c r="R761" s="13">
        <v>41815</v>
      </c>
      <c r="S761" s="13">
        <v>41815</v>
      </c>
    </row>
    <row r="762" spans="1:19">
      <c r="A762" s="10">
        <v>2014</v>
      </c>
      <c r="B762" s="11" t="s">
        <v>483</v>
      </c>
      <c r="C762" s="11" t="s">
        <v>484</v>
      </c>
      <c r="D762" s="12">
        <v>1015042</v>
      </c>
      <c r="E762" s="12">
        <v>2</v>
      </c>
      <c r="F762" s="12"/>
      <c r="G762" s="12">
        <v>160</v>
      </c>
      <c r="H762" s="12" t="s">
        <v>62</v>
      </c>
      <c r="I762" s="12"/>
      <c r="J762" s="12" t="s">
        <v>359</v>
      </c>
      <c r="K762" s="12" t="b">
        <v>1</v>
      </c>
      <c r="L762" s="12">
        <v>7</v>
      </c>
      <c r="M762" s="8">
        <v>2021</v>
      </c>
      <c r="N762" s="9">
        <v>0</v>
      </c>
      <c r="O762" s="9">
        <v>0</v>
      </c>
      <c r="P762" s="9">
        <v>0</v>
      </c>
      <c r="Q762" s="9">
        <v>0</v>
      </c>
      <c r="R762" s="13">
        <v>41815</v>
      </c>
      <c r="S762" s="13">
        <v>41815</v>
      </c>
    </row>
    <row r="763" spans="1:19">
      <c r="A763" s="10">
        <v>2014</v>
      </c>
      <c r="B763" s="11" t="s">
        <v>483</v>
      </c>
      <c r="C763" s="11" t="s">
        <v>484</v>
      </c>
      <c r="D763" s="12">
        <v>1015042</v>
      </c>
      <c r="E763" s="12">
        <v>2</v>
      </c>
      <c r="F763" s="12"/>
      <c r="G763" s="12">
        <v>160</v>
      </c>
      <c r="H763" s="12" t="s">
        <v>62</v>
      </c>
      <c r="I763" s="12"/>
      <c r="J763" s="12" t="s">
        <v>359</v>
      </c>
      <c r="K763" s="12" t="b">
        <v>1</v>
      </c>
      <c r="L763" s="12">
        <v>1</v>
      </c>
      <c r="M763" s="8">
        <v>2015</v>
      </c>
      <c r="N763" s="9">
        <v>0</v>
      </c>
      <c r="O763" s="9">
        <v>0</v>
      </c>
      <c r="P763" s="9">
        <v>0</v>
      </c>
      <c r="Q763" s="9">
        <v>0</v>
      </c>
      <c r="R763" s="13">
        <v>41815</v>
      </c>
      <c r="S763" s="13">
        <v>41815</v>
      </c>
    </row>
    <row r="764" spans="1:19">
      <c r="A764" s="10">
        <v>2014</v>
      </c>
      <c r="B764" s="11" t="s">
        <v>483</v>
      </c>
      <c r="C764" s="11" t="s">
        <v>484</v>
      </c>
      <c r="D764" s="12">
        <v>1015042</v>
      </c>
      <c r="E764" s="12">
        <v>2</v>
      </c>
      <c r="F764" s="12"/>
      <c r="G764" s="12">
        <v>160</v>
      </c>
      <c r="H764" s="12" t="s">
        <v>62</v>
      </c>
      <c r="I764" s="12"/>
      <c r="J764" s="12" t="s">
        <v>359</v>
      </c>
      <c r="K764" s="12" t="b">
        <v>1</v>
      </c>
      <c r="L764" s="12">
        <v>8</v>
      </c>
      <c r="M764" s="8">
        <v>2022</v>
      </c>
      <c r="N764" s="9">
        <v>0</v>
      </c>
      <c r="O764" s="9">
        <v>0</v>
      </c>
      <c r="P764" s="9">
        <v>0</v>
      </c>
      <c r="Q764" s="9">
        <v>0</v>
      </c>
      <c r="R764" s="13">
        <v>41815</v>
      </c>
      <c r="S764" s="13">
        <v>41815</v>
      </c>
    </row>
    <row r="765" spans="1:19">
      <c r="A765" s="10">
        <v>2014</v>
      </c>
      <c r="B765" s="11" t="s">
        <v>483</v>
      </c>
      <c r="C765" s="11" t="s">
        <v>484</v>
      </c>
      <c r="D765" s="12">
        <v>1015042</v>
      </c>
      <c r="E765" s="12">
        <v>2</v>
      </c>
      <c r="F765" s="12"/>
      <c r="G765" s="12">
        <v>160</v>
      </c>
      <c r="H765" s="12" t="s">
        <v>62</v>
      </c>
      <c r="I765" s="12"/>
      <c r="J765" s="12" t="s">
        <v>359</v>
      </c>
      <c r="K765" s="12" t="b">
        <v>1</v>
      </c>
      <c r="L765" s="12">
        <v>3</v>
      </c>
      <c r="M765" s="8">
        <v>2017</v>
      </c>
      <c r="N765" s="9">
        <v>0</v>
      </c>
      <c r="O765" s="9">
        <v>0</v>
      </c>
      <c r="P765" s="9">
        <v>0</v>
      </c>
      <c r="Q765" s="9">
        <v>0</v>
      </c>
      <c r="R765" s="13">
        <v>41815</v>
      </c>
      <c r="S765" s="13">
        <v>41815</v>
      </c>
    </row>
    <row r="766" spans="1:19">
      <c r="A766" s="10">
        <v>2014</v>
      </c>
      <c r="B766" s="11" t="s">
        <v>483</v>
      </c>
      <c r="C766" s="11" t="s">
        <v>484</v>
      </c>
      <c r="D766" s="12">
        <v>1015042</v>
      </c>
      <c r="E766" s="12">
        <v>2</v>
      </c>
      <c r="F766" s="12"/>
      <c r="G766" s="12">
        <v>160</v>
      </c>
      <c r="H766" s="12" t="s">
        <v>62</v>
      </c>
      <c r="I766" s="12"/>
      <c r="J766" s="12" t="s">
        <v>359</v>
      </c>
      <c r="K766" s="12" t="b">
        <v>1</v>
      </c>
      <c r="L766" s="12">
        <v>0</v>
      </c>
      <c r="M766" s="8">
        <v>2014</v>
      </c>
      <c r="N766" s="9">
        <v>0</v>
      </c>
      <c r="O766" s="9">
        <v>0</v>
      </c>
      <c r="P766" s="9">
        <v>0</v>
      </c>
      <c r="Q766" s="9">
        <v>0</v>
      </c>
      <c r="R766" s="13">
        <v>41815</v>
      </c>
      <c r="S766" s="13">
        <v>41815</v>
      </c>
    </row>
    <row r="767" spans="1:19">
      <c r="A767" s="10">
        <v>2014</v>
      </c>
      <c r="B767" s="11" t="s">
        <v>483</v>
      </c>
      <c r="C767" s="11" t="s">
        <v>484</v>
      </c>
      <c r="D767" s="12">
        <v>1015042</v>
      </c>
      <c r="E767" s="12">
        <v>2</v>
      </c>
      <c r="F767" s="12"/>
      <c r="G767" s="12">
        <v>160</v>
      </c>
      <c r="H767" s="12" t="s">
        <v>62</v>
      </c>
      <c r="I767" s="12"/>
      <c r="J767" s="12" t="s">
        <v>359</v>
      </c>
      <c r="K767" s="12" t="b">
        <v>1</v>
      </c>
      <c r="L767" s="12">
        <v>6</v>
      </c>
      <c r="M767" s="8">
        <v>2020</v>
      </c>
      <c r="N767" s="9">
        <v>0</v>
      </c>
      <c r="O767" s="9">
        <v>0</v>
      </c>
      <c r="P767" s="9">
        <v>0</v>
      </c>
      <c r="Q767" s="9">
        <v>0</v>
      </c>
      <c r="R767" s="13">
        <v>41815</v>
      </c>
      <c r="S767" s="13">
        <v>41815</v>
      </c>
    </row>
    <row r="768" spans="1:19">
      <c r="A768" s="10">
        <v>2014</v>
      </c>
      <c r="B768" s="11" t="s">
        <v>483</v>
      </c>
      <c r="C768" s="11" t="s">
        <v>484</v>
      </c>
      <c r="D768" s="12">
        <v>1015042</v>
      </c>
      <c r="E768" s="12">
        <v>2</v>
      </c>
      <c r="F768" s="12"/>
      <c r="G768" s="12">
        <v>400</v>
      </c>
      <c r="H768" s="12">
        <v>7</v>
      </c>
      <c r="I768" s="12"/>
      <c r="J768" s="12" t="s">
        <v>81</v>
      </c>
      <c r="K768" s="12" t="b">
        <v>1</v>
      </c>
      <c r="L768" s="12">
        <v>0</v>
      </c>
      <c r="M768" s="8">
        <v>2014</v>
      </c>
      <c r="N768" s="9">
        <v>0</v>
      </c>
      <c r="O768" s="9">
        <v>0</v>
      </c>
      <c r="P768" s="9">
        <v>0</v>
      </c>
      <c r="Q768" s="9">
        <v>0</v>
      </c>
      <c r="R768" s="13">
        <v>41815</v>
      </c>
      <c r="S768" s="13">
        <v>41815</v>
      </c>
    </row>
    <row r="769" spans="1:19">
      <c r="A769" s="10">
        <v>2014</v>
      </c>
      <c r="B769" s="11" t="s">
        <v>483</v>
      </c>
      <c r="C769" s="11" t="s">
        <v>484</v>
      </c>
      <c r="D769" s="12">
        <v>1015042</v>
      </c>
      <c r="E769" s="12">
        <v>2</v>
      </c>
      <c r="F769" s="12"/>
      <c r="G769" s="12">
        <v>400</v>
      </c>
      <c r="H769" s="12">
        <v>7</v>
      </c>
      <c r="I769" s="12"/>
      <c r="J769" s="12" t="s">
        <v>81</v>
      </c>
      <c r="K769" s="12" t="b">
        <v>1</v>
      </c>
      <c r="L769" s="12">
        <v>6</v>
      </c>
      <c r="M769" s="8">
        <v>2020</v>
      </c>
      <c r="N769" s="9">
        <v>0</v>
      </c>
      <c r="O769" s="9">
        <v>0</v>
      </c>
      <c r="P769" s="9">
        <v>0</v>
      </c>
      <c r="Q769" s="9">
        <v>0</v>
      </c>
      <c r="R769" s="13">
        <v>41815</v>
      </c>
      <c r="S769" s="13">
        <v>41815</v>
      </c>
    </row>
    <row r="770" spans="1:19">
      <c r="A770" s="10">
        <v>2014</v>
      </c>
      <c r="B770" s="11" t="s">
        <v>483</v>
      </c>
      <c r="C770" s="11" t="s">
        <v>484</v>
      </c>
      <c r="D770" s="12">
        <v>1015042</v>
      </c>
      <c r="E770" s="12">
        <v>2</v>
      </c>
      <c r="F770" s="12"/>
      <c r="G770" s="12">
        <v>400</v>
      </c>
      <c r="H770" s="12">
        <v>7</v>
      </c>
      <c r="I770" s="12"/>
      <c r="J770" s="12" t="s">
        <v>81</v>
      </c>
      <c r="K770" s="12" t="b">
        <v>1</v>
      </c>
      <c r="L770" s="12">
        <v>2</v>
      </c>
      <c r="M770" s="8">
        <v>2016</v>
      </c>
      <c r="N770" s="9">
        <v>0</v>
      </c>
      <c r="O770" s="9">
        <v>0</v>
      </c>
      <c r="P770" s="9">
        <v>0</v>
      </c>
      <c r="Q770" s="9">
        <v>0</v>
      </c>
      <c r="R770" s="13">
        <v>41815</v>
      </c>
      <c r="S770" s="13">
        <v>41815</v>
      </c>
    </row>
    <row r="771" spans="1:19">
      <c r="A771" s="10">
        <v>2014</v>
      </c>
      <c r="B771" s="11" t="s">
        <v>483</v>
      </c>
      <c r="C771" s="11" t="s">
        <v>484</v>
      </c>
      <c r="D771" s="12">
        <v>1015042</v>
      </c>
      <c r="E771" s="12">
        <v>2</v>
      </c>
      <c r="F771" s="12"/>
      <c r="G771" s="12">
        <v>400</v>
      </c>
      <c r="H771" s="12">
        <v>7</v>
      </c>
      <c r="I771" s="12"/>
      <c r="J771" s="12" t="s">
        <v>81</v>
      </c>
      <c r="K771" s="12" t="b">
        <v>1</v>
      </c>
      <c r="L771" s="12">
        <v>8</v>
      </c>
      <c r="M771" s="8">
        <v>2022</v>
      </c>
      <c r="N771" s="9">
        <v>0</v>
      </c>
      <c r="O771" s="9">
        <v>0</v>
      </c>
      <c r="P771" s="9">
        <v>0</v>
      </c>
      <c r="Q771" s="9">
        <v>0</v>
      </c>
      <c r="R771" s="13">
        <v>41815</v>
      </c>
      <c r="S771" s="13">
        <v>41815</v>
      </c>
    </row>
    <row r="772" spans="1:19">
      <c r="A772" s="10">
        <v>2014</v>
      </c>
      <c r="B772" s="11" t="s">
        <v>483</v>
      </c>
      <c r="C772" s="11" t="s">
        <v>484</v>
      </c>
      <c r="D772" s="12">
        <v>1015042</v>
      </c>
      <c r="E772" s="12">
        <v>2</v>
      </c>
      <c r="F772" s="12"/>
      <c r="G772" s="12">
        <v>400</v>
      </c>
      <c r="H772" s="12">
        <v>7</v>
      </c>
      <c r="I772" s="12"/>
      <c r="J772" s="12" t="s">
        <v>81</v>
      </c>
      <c r="K772" s="12" t="b">
        <v>1</v>
      </c>
      <c r="L772" s="12">
        <v>7</v>
      </c>
      <c r="M772" s="8">
        <v>2021</v>
      </c>
      <c r="N772" s="9">
        <v>0</v>
      </c>
      <c r="O772" s="9">
        <v>0</v>
      </c>
      <c r="P772" s="9">
        <v>0</v>
      </c>
      <c r="Q772" s="9">
        <v>0</v>
      </c>
      <c r="R772" s="13">
        <v>41815</v>
      </c>
      <c r="S772" s="13">
        <v>41815</v>
      </c>
    </row>
    <row r="773" spans="1:19">
      <c r="A773" s="10">
        <v>2014</v>
      </c>
      <c r="B773" s="11" t="s">
        <v>483</v>
      </c>
      <c r="C773" s="11" t="s">
        <v>484</v>
      </c>
      <c r="D773" s="12">
        <v>1015042</v>
      </c>
      <c r="E773" s="12">
        <v>2</v>
      </c>
      <c r="F773" s="12"/>
      <c r="G773" s="12">
        <v>400</v>
      </c>
      <c r="H773" s="12">
        <v>7</v>
      </c>
      <c r="I773" s="12"/>
      <c r="J773" s="12" t="s">
        <v>81</v>
      </c>
      <c r="K773" s="12" t="b">
        <v>1</v>
      </c>
      <c r="L773" s="12">
        <v>3</v>
      </c>
      <c r="M773" s="8">
        <v>2017</v>
      </c>
      <c r="N773" s="9">
        <v>0</v>
      </c>
      <c r="O773" s="9">
        <v>0</v>
      </c>
      <c r="P773" s="9">
        <v>0</v>
      </c>
      <c r="Q773" s="9">
        <v>0</v>
      </c>
      <c r="R773" s="13">
        <v>41815</v>
      </c>
      <c r="S773" s="13">
        <v>41815</v>
      </c>
    </row>
    <row r="774" spans="1:19">
      <c r="A774" s="10">
        <v>2014</v>
      </c>
      <c r="B774" s="11" t="s">
        <v>483</v>
      </c>
      <c r="C774" s="11" t="s">
        <v>484</v>
      </c>
      <c r="D774" s="12">
        <v>1015042</v>
      </c>
      <c r="E774" s="12">
        <v>2</v>
      </c>
      <c r="F774" s="12"/>
      <c r="G774" s="12">
        <v>400</v>
      </c>
      <c r="H774" s="12">
        <v>7</v>
      </c>
      <c r="I774" s="12"/>
      <c r="J774" s="12" t="s">
        <v>81</v>
      </c>
      <c r="K774" s="12" t="b">
        <v>1</v>
      </c>
      <c r="L774" s="12">
        <v>5</v>
      </c>
      <c r="M774" s="8">
        <v>2019</v>
      </c>
      <c r="N774" s="9">
        <v>0</v>
      </c>
      <c r="O774" s="9">
        <v>0</v>
      </c>
      <c r="P774" s="9">
        <v>0</v>
      </c>
      <c r="Q774" s="9">
        <v>0</v>
      </c>
      <c r="R774" s="13">
        <v>41815</v>
      </c>
      <c r="S774" s="13">
        <v>41815</v>
      </c>
    </row>
    <row r="775" spans="1:19">
      <c r="A775" s="10">
        <v>2014</v>
      </c>
      <c r="B775" s="11" t="s">
        <v>483</v>
      </c>
      <c r="C775" s="11" t="s">
        <v>484</v>
      </c>
      <c r="D775" s="12">
        <v>1015042</v>
      </c>
      <c r="E775" s="12">
        <v>2</v>
      </c>
      <c r="F775" s="12"/>
      <c r="G775" s="12">
        <v>400</v>
      </c>
      <c r="H775" s="12">
        <v>7</v>
      </c>
      <c r="I775" s="12"/>
      <c r="J775" s="12" t="s">
        <v>81</v>
      </c>
      <c r="K775" s="12" t="b">
        <v>1</v>
      </c>
      <c r="L775" s="12">
        <v>1</v>
      </c>
      <c r="M775" s="8">
        <v>2015</v>
      </c>
      <c r="N775" s="9">
        <v>0</v>
      </c>
      <c r="O775" s="9">
        <v>0</v>
      </c>
      <c r="P775" s="9">
        <v>0</v>
      </c>
      <c r="Q775" s="9">
        <v>0</v>
      </c>
      <c r="R775" s="13">
        <v>41815</v>
      </c>
      <c r="S775" s="13">
        <v>41815</v>
      </c>
    </row>
    <row r="776" spans="1:19">
      <c r="A776" s="10">
        <v>2014</v>
      </c>
      <c r="B776" s="11" t="s">
        <v>483</v>
      </c>
      <c r="C776" s="11" t="s">
        <v>484</v>
      </c>
      <c r="D776" s="12">
        <v>1015042</v>
      </c>
      <c r="E776" s="12">
        <v>2</v>
      </c>
      <c r="F776" s="12"/>
      <c r="G776" s="12">
        <v>400</v>
      </c>
      <c r="H776" s="12">
        <v>7</v>
      </c>
      <c r="I776" s="12"/>
      <c r="J776" s="12" t="s">
        <v>81</v>
      </c>
      <c r="K776" s="12" t="b">
        <v>1</v>
      </c>
      <c r="L776" s="12">
        <v>4</v>
      </c>
      <c r="M776" s="8">
        <v>2018</v>
      </c>
      <c r="N776" s="9">
        <v>0</v>
      </c>
      <c r="O776" s="9">
        <v>0</v>
      </c>
      <c r="P776" s="9">
        <v>0</v>
      </c>
      <c r="Q776" s="9">
        <v>0</v>
      </c>
      <c r="R776" s="13">
        <v>41815</v>
      </c>
      <c r="S776" s="13">
        <v>41815</v>
      </c>
    </row>
    <row r="777" spans="1:19">
      <c r="A777" s="10">
        <v>2014</v>
      </c>
      <c r="B777" s="11" t="s">
        <v>483</v>
      </c>
      <c r="C777" s="11" t="s">
        <v>484</v>
      </c>
      <c r="D777" s="12">
        <v>1015042</v>
      </c>
      <c r="E777" s="12">
        <v>2</v>
      </c>
      <c r="F777" s="12"/>
      <c r="G777" s="12">
        <v>130</v>
      </c>
      <c r="H777" s="12">
        <v>2.1</v>
      </c>
      <c r="I777" s="12"/>
      <c r="J777" s="12" t="s">
        <v>58</v>
      </c>
      <c r="K777" s="12" t="b">
        <v>1</v>
      </c>
      <c r="L777" s="12">
        <v>5</v>
      </c>
      <c r="M777" s="8">
        <v>2019</v>
      </c>
      <c r="N777" s="9">
        <v>7212062.29</v>
      </c>
      <c r="O777" s="9">
        <v>6914327.4199999999</v>
      </c>
      <c r="P777" s="9">
        <v>7314728.9900000002</v>
      </c>
      <c r="Q777" s="9">
        <v>6944036.5999999996</v>
      </c>
      <c r="R777" s="13">
        <v>41815</v>
      </c>
      <c r="S777" s="13">
        <v>41815</v>
      </c>
    </row>
    <row r="778" spans="1:19">
      <c r="A778" s="10">
        <v>2014</v>
      </c>
      <c r="B778" s="11" t="s">
        <v>483</v>
      </c>
      <c r="C778" s="11" t="s">
        <v>484</v>
      </c>
      <c r="D778" s="12">
        <v>1015042</v>
      </c>
      <c r="E778" s="12">
        <v>2</v>
      </c>
      <c r="F778" s="12"/>
      <c r="G778" s="12">
        <v>130</v>
      </c>
      <c r="H778" s="12">
        <v>2.1</v>
      </c>
      <c r="I778" s="12"/>
      <c r="J778" s="12" t="s">
        <v>58</v>
      </c>
      <c r="K778" s="12" t="b">
        <v>1</v>
      </c>
      <c r="L778" s="12">
        <v>1</v>
      </c>
      <c r="M778" s="8">
        <v>2015</v>
      </c>
      <c r="N778" s="9">
        <v>7212062.29</v>
      </c>
      <c r="O778" s="9">
        <v>6914327.4199999999</v>
      </c>
      <c r="P778" s="9">
        <v>7314728.9900000002</v>
      </c>
      <c r="Q778" s="9">
        <v>6944036.5999999996</v>
      </c>
      <c r="R778" s="13">
        <v>41815</v>
      </c>
      <c r="S778" s="13">
        <v>41815</v>
      </c>
    </row>
    <row r="779" spans="1:19">
      <c r="A779" s="10">
        <v>2014</v>
      </c>
      <c r="B779" s="11" t="s">
        <v>483</v>
      </c>
      <c r="C779" s="11" t="s">
        <v>484</v>
      </c>
      <c r="D779" s="12">
        <v>1015042</v>
      </c>
      <c r="E779" s="12">
        <v>2</v>
      </c>
      <c r="F779" s="12"/>
      <c r="G779" s="12">
        <v>130</v>
      </c>
      <c r="H779" s="12">
        <v>2.1</v>
      </c>
      <c r="I779" s="12"/>
      <c r="J779" s="12" t="s">
        <v>58</v>
      </c>
      <c r="K779" s="12" t="b">
        <v>1</v>
      </c>
      <c r="L779" s="12">
        <v>8</v>
      </c>
      <c r="M779" s="8">
        <v>2022</v>
      </c>
      <c r="N779" s="9">
        <v>7212062.29</v>
      </c>
      <c r="O779" s="9">
        <v>6914327.4199999999</v>
      </c>
      <c r="P779" s="9">
        <v>7314728.9900000002</v>
      </c>
      <c r="Q779" s="9">
        <v>6944036.5999999996</v>
      </c>
      <c r="R779" s="13">
        <v>41815</v>
      </c>
      <c r="S779" s="13">
        <v>41815</v>
      </c>
    </row>
    <row r="780" spans="1:19">
      <c r="A780" s="10">
        <v>2014</v>
      </c>
      <c r="B780" s="11" t="s">
        <v>483</v>
      </c>
      <c r="C780" s="11" t="s">
        <v>484</v>
      </c>
      <c r="D780" s="12">
        <v>1015042</v>
      </c>
      <c r="E780" s="12">
        <v>2</v>
      </c>
      <c r="F780" s="12"/>
      <c r="G780" s="12">
        <v>130</v>
      </c>
      <c r="H780" s="12">
        <v>2.1</v>
      </c>
      <c r="I780" s="12"/>
      <c r="J780" s="12" t="s">
        <v>58</v>
      </c>
      <c r="K780" s="12" t="b">
        <v>1</v>
      </c>
      <c r="L780" s="12">
        <v>2</v>
      </c>
      <c r="M780" s="8">
        <v>2016</v>
      </c>
      <c r="N780" s="9">
        <v>7212062.29</v>
      </c>
      <c r="O780" s="9">
        <v>6914327.4199999999</v>
      </c>
      <c r="P780" s="9">
        <v>7314728.9900000002</v>
      </c>
      <c r="Q780" s="9">
        <v>6944036.5999999996</v>
      </c>
      <c r="R780" s="13">
        <v>41815</v>
      </c>
      <c r="S780" s="13">
        <v>41815</v>
      </c>
    </row>
    <row r="781" spans="1:19">
      <c r="A781" s="10">
        <v>2014</v>
      </c>
      <c r="B781" s="11" t="s">
        <v>483</v>
      </c>
      <c r="C781" s="11" t="s">
        <v>484</v>
      </c>
      <c r="D781" s="12">
        <v>1015042</v>
      </c>
      <c r="E781" s="12">
        <v>2</v>
      </c>
      <c r="F781" s="12"/>
      <c r="G781" s="12">
        <v>130</v>
      </c>
      <c r="H781" s="12">
        <v>2.1</v>
      </c>
      <c r="I781" s="12"/>
      <c r="J781" s="12" t="s">
        <v>58</v>
      </c>
      <c r="K781" s="12" t="b">
        <v>1</v>
      </c>
      <c r="L781" s="12">
        <v>6</v>
      </c>
      <c r="M781" s="8">
        <v>2020</v>
      </c>
      <c r="N781" s="9">
        <v>7212062.29</v>
      </c>
      <c r="O781" s="9">
        <v>6914327.4199999999</v>
      </c>
      <c r="P781" s="9">
        <v>7314728.9900000002</v>
      </c>
      <c r="Q781" s="9">
        <v>6944036.5999999996</v>
      </c>
      <c r="R781" s="13">
        <v>41815</v>
      </c>
      <c r="S781" s="13">
        <v>41815</v>
      </c>
    </row>
    <row r="782" spans="1:19">
      <c r="A782" s="10">
        <v>2014</v>
      </c>
      <c r="B782" s="11" t="s">
        <v>483</v>
      </c>
      <c r="C782" s="11" t="s">
        <v>484</v>
      </c>
      <c r="D782" s="12">
        <v>1015042</v>
      </c>
      <c r="E782" s="12">
        <v>2</v>
      </c>
      <c r="F782" s="12"/>
      <c r="G782" s="12">
        <v>130</v>
      </c>
      <c r="H782" s="12">
        <v>2.1</v>
      </c>
      <c r="I782" s="12"/>
      <c r="J782" s="12" t="s">
        <v>58</v>
      </c>
      <c r="K782" s="12" t="b">
        <v>1</v>
      </c>
      <c r="L782" s="12">
        <v>4</v>
      </c>
      <c r="M782" s="8">
        <v>2018</v>
      </c>
      <c r="N782" s="9">
        <v>7212062.29</v>
      </c>
      <c r="O782" s="9">
        <v>6914327.4199999999</v>
      </c>
      <c r="P782" s="9">
        <v>7314728.9900000002</v>
      </c>
      <c r="Q782" s="9">
        <v>6944036.5999999996</v>
      </c>
      <c r="R782" s="13">
        <v>41815</v>
      </c>
      <c r="S782" s="13">
        <v>41815</v>
      </c>
    </row>
    <row r="783" spans="1:19">
      <c r="A783" s="10">
        <v>2014</v>
      </c>
      <c r="B783" s="11" t="s">
        <v>483</v>
      </c>
      <c r="C783" s="11" t="s">
        <v>484</v>
      </c>
      <c r="D783" s="12">
        <v>1015042</v>
      </c>
      <c r="E783" s="12">
        <v>2</v>
      </c>
      <c r="F783" s="12"/>
      <c r="G783" s="12">
        <v>130</v>
      </c>
      <c r="H783" s="12">
        <v>2.1</v>
      </c>
      <c r="I783" s="12"/>
      <c r="J783" s="12" t="s">
        <v>58</v>
      </c>
      <c r="K783" s="12" t="b">
        <v>1</v>
      </c>
      <c r="L783" s="12">
        <v>0</v>
      </c>
      <c r="M783" s="8">
        <v>2014</v>
      </c>
      <c r="N783" s="9">
        <v>7212062.29</v>
      </c>
      <c r="O783" s="9">
        <v>6914327.4199999999</v>
      </c>
      <c r="P783" s="9">
        <v>7314728.9900000002</v>
      </c>
      <c r="Q783" s="9">
        <v>6944036.5999999996</v>
      </c>
      <c r="R783" s="13">
        <v>41815</v>
      </c>
      <c r="S783" s="13">
        <v>41815</v>
      </c>
    </row>
    <row r="784" spans="1:19">
      <c r="A784" s="10">
        <v>2014</v>
      </c>
      <c r="B784" s="11" t="s">
        <v>483</v>
      </c>
      <c r="C784" s="11" t="s">
        <v>484</v>
      </c>
      <c r="D784" s="12">
        <v>1015042</v>
      </c>
      <c r="E784" s="12">
        <v>2</v>
      </c>
      <c r="F784" s="12"/>
      <c r="G784" s="12">
        <v>130</v>
      </c>
      <c r="H784" s="12">
        <v>2.1</v>
      </c>
      <c r="I784" s="12"/>
      <c r="J784" s="12" t="s">
        <v>58</v>
      </c>
      <c r="K784" s="12" t="b">
        <v>1</v>
      </c>
      <c r="L784" s="12">
        <v>7</v>
      </c>
      <c r="M784" s="8">
        <v>2021</v>
      </c>
      <c r="N784" s="9">
        <v>7212062.29</v>
      </c>
      <c r="O784" s="9">
        <v>6914327.4199999999</v>
      </c>
      <c r="P784" s="9">
        <v>7314728.9900000002</v>
      </c>
      <c r="Q784" s="9">
        <v>6944036.5999999996</v>
      </c>
      <c r="R784" s="13">
        <v>41815</v>
      </c>
      <c r="S784" s="13">
        <v>41815</v>
      </c>
    </row>
    <row r="785" spans="1:19">
      <c r="A785" s="10">
        <v>2014</v>
      </c>
      <c r="B785" s="11" t="s">
        <v>483</v>
      </c>
      <c r="C785" s="11" t="s">
        <v>484</v>
      </c>
      <c r="D785" s="12">
        <v>1015042</v>
      </c>
      <c r="E785" s="12">
        <v>2</v>
      </c>
      <c r="F785" s="12"/>
      <c r="G785" s="12">
        <v>130</v>
      </c>
      <c r="H785" s="12">
        <v>2.1</v>
      </c>
      <c r="I785" s="12"/>
      <c r="J785" s="12" t="s">
        <v>58</v>
      </c>
      <c r="K785" s="12" t="b">
        <v>1</v>
      </c>
      <c r="L785" s="12">
        <v>3</v>
      </c>
      <c r="M785" s="8">
        <v>2017</v>
      </c>
      <c r="N785" s="9">
        <v>7212062.29</v>
      </c>
      <c r="O785" s="9">
        <v>6914327.4199999999</v>
      </c>
      <c r="P785" s="9">
        <v>7314728.9900000002</v>
      </c>
      <c r="Q785" s="9">
        <v>6944036.5999999996</v>
      </c>
      <c r="R785" s="13">
        <v>41815</v>
      </c>
      <c r="S785" s="13">
        <v>41815</v>
      </c>
    </row>
    <row r="786" spans="1:19">
      <c r="A786" s="10">
        <v>2014</v>
      </c>
      <c r="B786" s="11" t="s">
        <v>483</v>
      </c>
      <c r="C786" s="11" t="s">
        <v>484</v>
      </c>
      <c r="D786" s="12">
        <v>1015042</v>
      </c>
      <c r="E786" s="12">
        <v>2</v>
      </c>
      <c r="F786" s="12"/>
      <c r="G786" s="12">
        <v>769</v>
      </c>
      <c r="H786" s="12">
        <v>12.8</v>
      </c>
      <c r="I786" s="12"/>
      <c r="J786" s="12" t="s">
        <v>408</v>
      </c>
      <c r="K786" s="12" t="b">
        <v>1</v>
      </c>
      <c r="L786" s="12">
        <v>7</v>
      </c>
      <c r="M786" s="8">
        <v>2021</v>
      </c>
      <c r="N786" s="9">
        <v>0</v>
      </c>
      <c r="O786" s="9">
        <v>0</v>
      </c>
      <c r="P786" s="9">
        <v>0</v>
      </c>
      <c r="Q786" s="9">
        <v>0</v>
      </c>
      <c r="R786" s="13">
        <v>41815</v>
      </c>
      <c r="S786" s="13">
        <v>41815</v>
      </c>
    </row>
    <row r="787" spans="1:19">
      <c r="A787" s="10">
        <v>2014</v>
      </c>
      <c r="B787" s="11" t="s">
        <v>483</v>
      </c>
      <c r="C787" s="11" t="s">
        <v>484</v>
      </c>
      <c r="D787" s="12">
        <v>1015042</v>
      </c>
      <c r="E787" s="12">
        <v>2</v>
      </c>
      <c r="F787" s="12"/>
      <c r="G787" s="12">
        <v>769</v>
      </c>
      <c r="H787" s="12">
        <v>12.8</v>
      </c>
      <c r="I787" s="12"/>
      <c r="J787" s="12" t="s">
        <v>408</v>
      </c>
      <c r="K787" s="12" t="b">
        <v>1</v>
      </c>
      <c r="L787" s="12">
        <v>8</v>
      </c>
      <c r="M787" s="8">
        <v>2022</v>
      </c>
      <c r="N787" s="9">
        <v>0</v>
      </c>
      <c r="O787" s="9">
        <v>0</v>
      </c>
      <c r="P787" s="9">
        <v>0</v>
      </c>
      <c r="Q787" s="9">
        <v>0</v>
      </c>
      <c r="R787" s="13">
        <v>41815</v>
      </c>
      <c r="S787" s="13">
        <v>41815</v>
      </c>
    </row>
    <row r="788" spans="1:19">
      <c r="A788" s="10">
        <v>2014</v>
      </c>
      <c r="B788" s="11" t="s">
        <v>483</v>
      </c>
      <c r="C788" s="11" t="s">
        <v>484</v>
      </c>
      <c r="D788" s="12">
        <v>1015042</v>
      </c>
      <c r="E788" s="12">
        <v>2</v>
      </c>
      <c r="F788" s="12"/>
      <c r="G788" s="12">
        <v>769</v>
      </c>
      <c r="H788" s="12">
        <v>12.8</v>
      </c>
      <c r="I788" s="12"/>
      <c r="J788" s="12" t="s">
        <v>408</v>
      </c>
      <c r="K788" s="12" t="b">
        <v>1</v>
      </c>
      <c r="L788" s="12">
        <v>6</v>
      </c>
      <c r="M788" s="8">
        <v>2020</v>
      </c>
      <c r="N788" s="9">
        <v>0</v>
      </c>
      <c r="O788" s="9">
        <v>0</v>
      </c>
      <c r="P788" s="9">
        <v>0</v>
      </c>
      <c r="Q788" s="9">
        <v>0</v>
      </c>
      <c r="R788" s="13">
        <v>41815</v>
      </c>
      <c r="S788" s="13">
        <v>41815</v>
      </c>
    </row>
    <row r="789" spans="1:19">
      <c r="A789" s="10">
        <v>2014</v>
      </c>
      <c r="B789" s="11" t="s">
        <v>483</v>
      </c>
      <c r="C789" s="11" t="s">
        <v>484</v>
      </c>
      <c r="D789" s="12">
        <v>1015042</v>
      </c>
      <c r="E789" s="12">
        <v>2</v>
      </c>
      <c r="F789" s="12"/>
      <c r="G789" s="12">
        <v>769</v>
      </c>
      <c r="H789" s="12">
        <v>12.8</v>
      </c>
      <c r="I789" s="12"/>
      <c r="J789" s="12" t="s">
        <v>408</v>
      </c>
      <c r="K789" s="12" t="b">
        <v>1</v>
      </c>
      <c r="L789" s="12">
        <v>3</v>
      </c>
      <c r="M789" s="8">
        <v>2017</v>
      </c>
      <c r="N789" s="9">
        <v>0</v>
      </c>
      <c r="O789" s="9">
        <v>0</v>
      </c>
      <c r="P789" s="9">
        <v>0</v>
      </c>
      <c r="Q789" s="9">
        <v>0</v>
      </c>
      <c r="R789" s="13">
        <v>41815</v>
      </c>
      <c r="S789" s="13">
        <v>41815</v>
      </c>
    </row>
    <row r="790" spans="1:19">
      <c r="A790" s="10">
        <v>2014</v>
      </c>
      <c r="B790" s="11" t="s">
        <v>483</v>
      </c>
      <c r="C790" s="11" t="s">
        <v>484</v>
      </c>
      <c r="D790" s="12">
        <v>1015042</v>
      </c>
      <c r="E790" s="12">
        <v>2</v>
      </c>
      <c r="F790" s="12"/>
      <c r="G790" s="12">
        <v>769</v>
      </c>
      <c r="H790" s="12">
        <v>12.8</v>
      </c>
      <c r="I790" s="12"/>
      <c r="J790" s="12" t="s">
        <v>408</v>
      </c>
      <c r="K790" s="12" t="b">
        <v>1</v>
      </c>
      <c r="L790" s="12">
        <v>1</v>
      </c>
      <c r="M790" s="8">
        <v>2015</v>
      </c>
      <c r="N790" s="9">
        <v>0</v>
      </c>
      <c r="O790" s="9">
        <v>0</v>
      </c>
      <c r="P790" s="9">
        <v>0</v>
      </c>
      <c r="Q790" s="9">
        <v>0</v>
      </c>
      <c r="R790" s="13">
        <v>41815</v>
      </c>
      <c r="S790" s="13">
        <v>41815</v>
      </c>
    </row>
    <row r="791" spans="1:19">
      <c r="A791" s="10">
        <v>2014</v>
      </c>
      <c r="B791" s="11" t="s">
        <v>483</v>
      </c>
      <c r="C791" s="11" t="s">
        <v>484</v>
      </c>
      <c r="D791" s="12">
        <v>1015042</v>
      </c>
      <c r="E791" s="12">
        <v>2</v>
      </c>
      <c r="F791" s="12"/>
      <c r="G791" s="12">
        <v>769</v>
      </c>
      <c r="H791" s="12">
        <v>12.8</v>
      </c>
      <c r="I791" s="12"/>
      <c r="J791" s="12" t="s">
        <v>408</v>
      </c>
      <c r="K791" s="12" t="b">
        <v>1</v>
      </c>
      <c r="L791" s="12">
        <v>0</v>
      </c>
      <c r="M791" s="8">
        <v>2014</v>
      </c>
      <c r="N791" s="9">
        <v>0</v>
      </c>
      <c r="O791" s="9">
        <v>0</v>
      </c>
      <c r="P791" s="9">
        <v>0</v>
      </c>
      <c r="Q791" s="9">
        <v>0</v>
      </c>
      <c r="R791" s="13">
        <v>41815</v>
      </c>
      <c r="S791" s="13">
        <v>41815</v>
      </c>
    </row>
    <row r="792" spans="1:19">
      <c r="A792" s="10">
        <v>2014</v>
      </c>
      <c r="B792" s="11" t="s">
        <v>483</v>
      </c>
      <c r="C792" s="11" t="s">
        <v>484</v>
      </c>
      <c r="D792" s="12">
        <v>1015042</v>
      </c>
      <c r="E792" s="12">
        <v>2</v>
      </c>
      <c r="F792" s="12"/>
      <c r="G792" s="12">
        <v>769</v>
      </c>
      <c r="H792" s="12">
        <v>12.8</v>
      </c>
      <c r="I792" s="12"/>
      <c r="J792" s="12" t="s">
        <v>408</v>
      </c>
      <c r="K792" s="12" t="b">
        <v>1</v>
      </c>
      <c r="L792" s="12">
        <v>4</v>
      </c>
      <c r="M792" s="8">
        <v>2018</v>
      </c>
      <c r="N792" s="9">
        <v>0</v>
      </c>
      <c r="O792" s="9">
        <v>0</v>
      </c>
      <c r="P792" s="9">
        <v>0</v>
      </c>
      <c r="Q792" s="9">
        <v>0</v>
      </c>
      <c r="R792" s="13">
        <v>41815</v>
      </c>
      <c r="S792" s="13">
        <v>41815</v>
      </c>
    </row>
    <row r="793" spans="1:19">
      <c r="A793" s="10">
        <v>2014</v>
      </c>
      <c r="B793" s="11" t="s">
        <v>483</v>
      </c>
      <c r="C793" s="11" t="s">
        <v>484</v>
      </c>
      <c r="D793" s="12">
        <v>1015042</v>
      </c>
      <c r="E793" s="12">
        <v>2</v>
      </c>
      <c r="F793" s="12"/>
      <c r="G793" s="12">
        <v>769</v>
      </c>
      <c r="H793" s="12">
        <v>12.8</v>
      </c>
      <c r="I793" s="12"/>
      <c r="J793" s="12" t="s">
        <v>408</v>
      </c>
      <c r="K793" s="12" t="b">
        <v>1</v>
      </c>
      <c r="L793" s="12">
        <v>5</v>
      </c>
      <c r="M793" s="8">
        <v>2019</v>
      </c>
      <c r="N793" s="9">
        <v>0</v>
      </c>
      <c r="O793" s="9">
        <v>0</v>
      </c>
      <c r="P793" s="9">
        <v>0</v>
      </c>
      <c r="Q793" s="9">
        <v>0</v>
      </c>
      <c r="R793" s="13">
        <v>41815</v>
      </c>
      <c r="S793" s="13">
        <v>41815</v>
      </c>
    </row>
    <row r="794" spans="1:19">
      <c r="A794" s="10">
        <v>2014</v>
      </c>
      <c r="B794" s="11" t="s">
        <v>483</v>
      </c>
      <c r="C794" s="11" t="s">
        <v>484</v>
      </c>
      <c r="D794" s="12">
        <v>1015042</v>
      </c>
      <c r="E794" s="12">
        <v>2</v>
      </c>
      <c r="F794" s="12"/>
      <c r="G794" s="12">
        <v>600</v>
      </c>
      <c r="H794" s="12">
        <v>11.3</v>
      </c>
      <c r="I794" s="12" t="s">
        <v>395</v>
      </c>
      <c r="J794" s="12" t="s">
        <v>396</v>
      </c>
      <c r="K794" s="12" t="b">
        <v>1</v>
      </c>
      <c r="L794" s="12">
        <v>1</v>
      </c>
      <c r="M794" s="8">
        <v>2015</v>
      </c>
      <c r="N794" s="9">
        <v>0</v>
      </c>
      <c r="O794" s="9">
        <v>0</v>
      </c>
      <c r="P794" s="9">
        <v>2174969</v>
      </c>
      <c r="Q794" s="9">
        <v>2160506.7200000002</v>
      </c>
      <c r="R794" s="13">
        <v>41815</v>
      </c>
      <c r="S794" s="13">
        <v>41815</v>
      </c>
    </row>
    <row r="795" spans="1:19">
      <c r="A795" s="10">
        <v>2014</v>
      </c>
      <c r="B795" s="11" t="s">
        <v>483</v>
      </c>
      <c r="C795" s="11" t="s">
        <v>484</v>
      </c>
      <c r="D795" s="12">
        <v>1015042</v>
      </c>
      <c r="E795" s="12">
        <v>2</v>
      </c>
      <c r="F795" s="12"/>
      <c r="G795" s="12">
        <v>769</v>
      </c>
      <c r="H795" s="12">
        <v>12.8</v>
      </c>
      <c r="I795" s="12"/>
      <c r="J795" s="12" t="s">
        <v>408</v>
      </c>
      <c r="K795" s="12" t="b">
        <v>1</v>
      </c>
      <c r="L795" s="12">
        <v>2</v>
      </c>
      <c r="M795" s="8">
        <v>2016</v>
      </c>
      <c r="N795" s="9">
        <v>0</v>
      </c>
      <c r="O795" s="9">
        <v>0</v>
      </c>
      <c r="P795" s="9">
        <v>0</v>
      </c>
      <c r="Q795" s="9">
        <v>0</v>
      </c>
      <c r="R795" s="13">
        <v>41815</v>
      </c>
      <c r="S795" s="13">
        <v>41815</v>
      </c>
    </row>
    <row r="796" spans="1:19">
      <c r="A796" s="10">
        <v>2014</v>
      </c>
      <c r="B796" s="11" t="s">
        <v>483</v>
      </c>
      <c r="C796" s="11" t="s">
        <v>484</v>
      </c>
      <c r="D796" s="12">
        <v>1015042</v>
      </c>
      <c r="E796" s="12">
        <v>2</v>
      </c>
      <c r="F796" s="12"/>
      <c r="G796" s="12">
        <v>332</v>
      </c>
      <c r="H796" s="12" t="s">
        <v>79</v>
      </c>
      <c r="I796" s="12"/>
      <c r="J796" s="12" t="s">
        <v>371</v>
      </c>
      <c r="K796" s="12" t="b">
        <v>1</v>
      </c>
      <c r="L796" s="12">
        <v>5</v>
      </c>
      <c r="M796" s="8">
        <v>2019</v>
      </c>
      <c r="N796" s="9">
        <v>911698</v>
      </c>
      <c r="O796" s="9">
        <v>304294</v>
      </c>
      <c r="P796" s="9">
        <v>0</v>
      </c>
      <c r="Q796" s="9">
        <v>0</v>
      </c>
      <c r="R796" s="13">
        <v>41815</v>
      </c>
      <c r="S796" s="13">
        <v>41815</v>
      </c>
    </row>
    <row r="797" spans="1:19">
      <c r="A797" s="10">
        <v>2014</v>
      </c>
      <c r="B797" s="11" t="s">
        <v>483</v>
      </c>
      <c r="C797" s="11" t="s">
        <v>484</v>
      </c>
      <c r="D797" s="12">
        <v>1015042</v>
      </c>
      <c r="E797" s="12">
        <v>2</v>
      </c>
      <c r="F797" s="12"/>
      <c r="G797" s="12">
        <v>332</v>
      </c>
      <c r="H797" s="12" t="s">
        <v>79</v>
      </c>
      <c r="I797" s="12"/>
      <c r="J797" s="12" t="s">
        <v>371</v>
      </c>
      <c r="K797" s="12" t="b">
        <v>1</v>
      </c>
      <c r="L797" s="12">
        <v>3</v>
      </c>
      <c r="M797" s="8">
        <v>2017</v>
      </c>
      <c r="N797" s="9">
        <v>911698</v>
      </c>
      <c r="O797" s="9">
        <v>304294</v>
      </c>
      <c r="P797" s="9">
        <v>0</v>
      </c>
      <c r="Q797" s="9">
        <v>0</v>
      </c>
      <c r="R797" s="13">
        <v>41815</v>
      </c>
      <c r="S797" s="13">
        <v>41815</v>
      </c>
    </row>
    <row r="798" spans="1:19">
      <c r="A798" s="10">
        <v>2014</v>
      </c>
      <c r="B798" s="11" t="s">
        <v>483</v>
      </c>
      <c r="C798" s="11" t="s">
        <v>484</v>
      </c>
      <c r="D798" s="12">
        <v>1015042</v>
      </c>
      <c r="E798" s="12">
        <v>2</v>
      </c>
      <c r="F798" s="12"/>
      <c r="G798" s="12">
        <v>332</v>
      </c>
      <c r="H798" s="12" t="s">
        <v>79</v>
      </c>
      <c r="I798" s="12"/>
      <c r="J798" s="12" t="s">
        <v>371</v>
      </c>
      <c r="K798" s="12" t="b">
        <v>1</v>
      </c>
      <c r="L798" s="12">
        <v>8</v>
      </c>
      <c r="M798" s="8">
        <v>2022</v>
      </c>
      <c r="N798" s="9">
        <v>911698</v>
      </c>
      <c r="O798" s="9">
        <v>304294</v>
      </c>
      <c r="P798" s="9">
        <v>0</v>
      </c>
      <c r="Q798" s="9">
        <v>0</v>
      </c>
      <c r="R798" s="13">
        <v>41815</v>
      </c>
      <c r="S798" s="13">
        <v>41815</v>
      </c>
    </row>
    <row r="799" spans="1:19">
      <c r="A799" s="10">
        <v>2014</v>
      </c>
      <c r="B799" s="11" t="s">
        <v>483</v>
      </c>
      <c r="C799" s="11" t="s">
        <v>484</v>
      </c>
      <c r="D799" s="12">
        <v>1015042</v>
      </c>
      <c r="E799" s="12">
        <v>2</v>
      </c>
      <c r="F799" s="12"/>
      <c r="G799" s="12">
        <v>332</v>
      </c>
      <c r="H799" s="12" t="s">
        <v>79</v>
      </c>
      <c r="I799" s="12"/>
      <c r="J799" s="12" t="s">
        <v>371</v>
      </c>
      <c r="K799" s="12" t="b">
        <v>1</v>
      </c>
      <c r="L799" s="12">
        <v>0</v>
      </c>
      <c r="M799" s="8">
        <v>2014</v>
      </c>
      <c r="N799" s="9">
        <v>911698</v>
      </c>
      <c r="O799" s="9">
        <v>304294</v>
      </c>
      <c r="P799" s="9">
        <v>0</v>
      </c>
      <c r="Q799" s="9">
        <v>0</v>
      </c>
      <c r="R799" s="13">
        <v>41815</v>
      </c>
      <c r="S799" s="13">
        <v>41815</v>
      </c>
    </row>
    <row r="800" spans="1:19">
      <c r="A800" s="10">
        <v>2014</v>
      </c>
      <c r="B800" s="11" t="s">
        <v>483</v>
      </c>
      <c r="C800" s="11" t="s">
        <v>484</v>
      </c>
      <c r="D800" s="12">
        <v>1015042</v>
      </c>
      <c r="E800" s="12">
        <v>2</v>
      </c>
      <c r="F800" s="12"/>
      <c r="G800" s="12">
        <v>332</v>
      </c>
      <c r="H800" s="12" t="s">
        <v>79</v>
      </c>
      <c r="I800" s="12"/>
      <c r="J800" s="12" t="s">
        <v>371</v>
      </c>
      <c r="K800" s="12" t="b">
        <v>1</v>
      </c>
      <c r="L800" s="12">
        <v>6</v>
      </c>
      <c r="M800" s="8">
        <v>2020</v>
      </c>
      <c r="N800" s="9">
        <v>911698</v>
      </c>
      <c r="O800" s="9">
        <v>304294</v>
      </c>
      <c r="P800" s="9">
        <v>0</v>
      </c>
      <c r="Q800" s="9">
        <v>0</v>
      </c>
      <c r="R800" s="13">
        <v>41815</v>
      </c>
      <c r="S800" s="13">
        <v>41815</v>
      </c>
    </row>
    <row r="801" spans="1:19">
      <c r="A801" s="10">
        <v>2014</v>
      </c>
      <c r="B801" s="11" t="s">
        <v>483</v>
      </c>
      <c r="C801" s="11" t="s">
        <v>484</v>
      </c>
      <c r="D801" s="12">
        <v>1015042</v>
      </c>
      <c r="E801" s="12">
        <v>2</v>
      </c>
      <c r="F801" s="12"/>
      <c r="G801" s="12">
        <v>332</v>
      </c>
      <c r="H801" s="12" t="s">
        <v>79</v>
      </c>
      <c r="I801" s="12"/>
      <c r="J801" s="12" t="s">
        <v>371</v>
      </c>
      <c r="K801" s="12" t="b">
        <v>1</v>
      </c>
      <c r="L801" s="12">
        <v>7</v>
      </c>
      <c r="M801" s="8">
        <v>2021</v>
      </c>
      <c r="N801" s="9">
        <v>911698</v>
      </c>
      <c r="O801" s="9">
        <v>304294</v>
      </c>
      <c r="P801" s="9">
        <v>0</v>
      </c>
      <c r="Q801" s="9">
        <v>0</v>
      </c>
      <c r="R801" s="13">
        <v>41815</v>
      </c>
      <c r="S801" s="13">
        <v>41815</v>
      </c>
    </row>
    <row r="802" spans="1:19">
      <c r="A802" s="10">
        <v>2014</v>
      </c>
      <c r="B802" s="11" t="s">
        <v>483</v>
      </c>
      <c r="C802" s="11" t="s">
        <v>484</v>
      </c>
      <c r="D802" s="12">
        <v>1015042</v>
      </c>
      <c r="E802" s="12">
        <v>2</v>
      </c>
      <c r="F802" s="12"/>
      <c r="G802" s="12">
        <v>332</v>
      </c>
      <c r="H802" s="12" t="s">
        <v>79</v>
      </c>
      <c r="I802" s="12"/>
      <c r="J802" s="12" t="s">
        <v>371</v>
      </c>
      <c r="K802" s="12" t="b">
        <v>1</v>
      </c>
      <c r="L802" s="12">
        <v>1</v>
      </c>
      <c r="M802" s="8">
        <v>2015</v>
      </c>
      <c r="N802" s="9">
        <v>911698</v>
      </c>
      <c r="O802" s="9">
        <v>304294</v>
      </c>
      <c r="P802" s="9">
        <v>0</v>
      </c>
      <c r="Q802" s="9">
        <v>0</v>
      </c>
      <c r="R802" s="13">
        <v>41815</v>
      </c>
      <c r="S802" s="13">
        <v>41815</v>
      </c>
    </row>
    <row r="803" spans="1:19">
      <c r="A803" s="10">
        <v>2014</v>
      </c>
      <c r="B803" s="11" t="s">
        <v>483</v>
      </c>
      <c r="C803" s="11" t="s">
        <v>484</v>
      </c>
      <c r="D803" s="12">
        <v>1015042</v>
      </c>
      <c r="E803" s="12">
        <v>2</v>
      </c>
      <c r="F803" s="12"/>
      <c r="G803" s="12">
        <v>332</v>
      </c>
      <c r="H803" s="12" t="s">
        <v>79</v>
      </c>
      <c r="I803" s="12"/>
      <c r="J803" s="12" t="s">
        <v>371</v>
      </c>
      <c r="K803" s="12" t="b">
        <v>1</v>
      </c>
      <c r="L803" s="12">
        <v>4</v>
      </c>
      <c r="M803" s="8">
        <v>2018</v>
      </c>
      <c r="N803" s="9">
        <v>911698</v>
      </c>
      <c r="O803" s="9">
        <v>304294</v>
      </c>
      <c r="P803" s="9">
        <v>0</v>
      </c>
      <c r="Q803" s="9">
        <v>0</v>
      </c>
      <c r="R803" s="13">
        <v>41815</v>
      </c>
      <c r="S803" s="13">
        <v>41815</v>
      </c>
    </row>
    <row r="804" spans="1:19">
      <c r="A804" s="10">
        <v>2014</v>
      </c>
      <c r="B804" s="11" t="s">
        <v>483</v>
      </c>
      <c r="C804" s="11" t="s">
        <v>484</v>
      </c>
      <c r="D804" s="12">
        <v>1015042</v>
      </c>
      <c r="E804" s="12">
        <v>2</v>
      </c>
      <c r="F804" s="12"/>
      <c r="G804" s="12">
        <v>332</v>
      </c>
      <c r="H804" s="12" t="s">
        <v>79</v>
      </c>
      <c r="I804" s="12"/>
      <c r="J804" s="12" t="s">
        <v>371</v>
      </c>
      <c r="K804" s="12" t="b">
        <v>1</v>
      </c>
      <c r="L804" s="12">
        <v>2</v>
      </c>
      <c r="M804" s="8">
        <v>2016</v>
      </c>
      <c r="N804" s="9">
        <v>911698</v>
      </c>
      <c r="O804" s="9">
        <v>304294</v>
      </c>
      <c r="P804" s="9">
        <v>0</v>
      </c>
      <c r="Q804" s="9">
        <v>0</v>
      </c>
      <c r="R804" s="13">
        <v>41815</v>
      </c>
      <c r="S804" s="13">
        <v>41815</v>
      </c>
    </row>
    <row r="805" spans="1:19">
      <c r="A805" s="10">
        <v>2014</v>
      </c>
      <c r="B805" s="11" t="s">
        <v>483</v>
      </c>
      <c r="C805" s="11" t="s">
        <v>484</v>
      </c>
      <c r="D805" s="12">
        <v>1015042</v>
      </c>
      <c r="E805" s="12">
        <v>2</v>
      </c>
      <c r="F805" s="12"/>
      <c r="G805" s="12">
        <v>762</v>
      </c>
      <c r="H805" s="12" t="s">
        <v>116</v>
      </c>
      <c r="I805" s="12"/>
      <c r="J805" s="12" t="s">
        <v>117</v>
      </c>
      <c r="K805" s="12" t="b">
        <v>1</v>
      </c>
      <c r="L805" s="12">
        <v>7</v>
      </c>
      <c r="M805" s="8">
        <v>2021</v>
      </c>
      <c r="N805" s="9">
        <v>1719165.08</v>
      </c>
      <c r="O805" s="9">
        <v>1208884.24</v>
      </c>
      <c r="P805" s="9">
        <v>1334069</v>
      </c>
      <c r="Q805" s="9">
        <v>1364426.36</v>
      </c>
      <c r="R805" s="13">
        <v>41815</v>
      </c>
      <c r="S805" s="13">
        <v>41815</v>
      </c>
    </row>
    <row r="806" spans="1:19">
      <c r="A806" s="10">
        <v>2014</v>
      </c>
      <c r="B806" s="11" t="s">
        <v>483</v>
      </c>
      <c r="C806" s="11" t="s">
        <v>484</v>
      </c>
      <c r="D806" s="12">
        <v>1015042</v>
      </c>
      <c r="E806" s="12">
        <v>2</v>
      </c>
      <c r="F806" s="12"/>
      <c r="G806" s="12">
        <v>762</v>
      </c>
      <c r="H806" s="12" t="s">
        <v>116</v>
      </c>
      <c r="I806" s="12"/>
      <c r="J806" s="12" t="s">
        <v>117</v>
      </c>
      <c r="K806" s="12" t="b">
        <v>1</v>
      </c>
      <c r="L806" s="12">
        <v>8</v>
      </c>
      <c r="M806" s="8">
        <v>2022</v>
      </c>
      <c r="N806" s="9">
        <v>1719165.08</v>
      </c>
      <c r="O806" s="9">
        <v>1208884.24</v>
      </c>
      <c r="P806" s="9">
        <v>1334069</v>
      </c>
      <c r="Q806" s="9">
        <v>1364426.36</v>
      </c>
      <c r="R806" s="13">
        <v>41815</v>
      </c>
      <c r="S806" s="13">
        <v>41815</v>
      </c>
    </row>
    <row r="807" spans="1:19">
      <c r="A807" s="10">
        <v>2014</v>
      </c>
      <c r="B807" s="11" t="s">
        <v>483</v>
      </c>
      <c r="C807" s="11" t="s">
        <v>484</v>
      </c>
      <c r="D807" s="12">
        <v>1015042</v>
      </c>
      <c r="E807" s="12">
        <v>2</v>
      </c>
      <c r="F807" s="12"/>
      <c r="G807" s="12">
        <v>762</v>
      </c>
      <c r="H807" s="12" t="s">
        <v>116</v>
      </c>
      <c r="I807" s="12"/>
      <c r="J807" s="12" t="s">
        <v>117</v>
      </c>
      <c r="K807" s="12" t="b">
        <v>1</v>
      </c>
      <c r="L807" s="12">
        <v>2</v>
      </c>
      <c r="M807" s="8">
        <v>2016</v>
      </c>
      <c r="N807" s="9">
        <v>1719165.08</v>
      </c>
      <c r="O807" s="9">
        <v>1208884.24</v>
      </c>
      <c r="P807" s="9">
        <v>1334069</v>
      </c>
      <c r="Q807" s="9">
        <v>1364426.36</v>
      </c>
      <c r="R807" s="13">
        <v>41815</v>
      </c>
      <c r="S807" s="13">
        <v>41815</v>
      </c>
    </row>
    <row r="808" spans="1:19">
      <c r="A808" s="10">
        <v>2014</v>
      </c>
      <c r="B808" s="11" t="s">
        <v>483</v>
      </c>
      <c r="C808" s="11" t="s">
        <v>484</v>
      </c>
      <c r="D808" s="12">
        <v>1015042</v>
      </c>
      <c r="E808" s="12">
        <v>2</v>
      </c>
      <c r="F808" s="12"/>
      <c r="G808" s="12">
        <v>762</v>
      </c>
      <c r="H808" s="12" t="s">
        <v>116</v>
      </c>
      <c r="I808" s="12"/>
      <c r="J808" s="12" t="s">
        <v>117</v>
      </c>
      <c r="K808" s="12" t="b">
        <v>1</v>
      </c>
      <c r="L808" s="12">
        <v>3</v>
      </c>
      <c r="M808" s="8">
        <v>2017</v>
      </c>
      <c r="N808" s="9">
        <v>1719165.08</v>
      </c>
      <c r="O808" s="9">
        <v>1208884.24</v>
      </c>
      <c r="P808" s="9">
        <v>1334069</v>
      </c>
      <c r="Q808" s="9">
        <v>1364426.36</v>
      </c>
      <c r="R808" s="13">
        <v>41815</v>
      </c>
      <c r="S808" s="13">
        <v>41815</v>
      </c>
    </row>
    <row r="809" spans="1:19">
      <c r="A809" s="10">
        <v>2014</v>
      </c>
      <c r="B809" s="11" t="s">
        <v>483</v>
      </c>
      <c r="C809" s="11" t="s">
        <v>484</v>
      </c>
      <c r="D809" s="12">
        <v>1015042</v>
      </c>
      <c r="E809" s="12">
        <v>2</v>
      </c>
      <c r="F809" s="12"/>
      <c r="G809" s="12">
        <v>762</v>
      </c>
      <c r="H809" s="12" t="s">
        <v>116</v>
      </c>
      <c r="I809" s="12"/>
      <c r="J809" s="12" t="s">
        <v>117</v>
      </c>
      <c r="K809" s="12" t="b">
        <v>1</v>
      </c>
      <c r="L809" s="12">
        <v>4</v>
      </c>
      <c r="M809" s="8">
        <v>2018</v>
      </c>
      <c r="N809" s="9">
        <v>1719165.08</v>
      </c>
      <c r="O809" s="9">
        <v>1208884.24</v>
      </c>
      <c r="P809" s="9">
        <v>1334069</v>
      </c>
      <c r="Q809" s="9">
        <v>1364426.36</v>
      </c>
      <c r="R809" s="13">
        <v>41815</v>
      </c>
      <c r="S809" s="13">
        <v>41815</v>
      </c>
    </row>
    <row r="810" spans="1:19">
      <c r="A810" s="10">
        <v>2014</v>
      </c>
      <c r="B810" s="11" t="s">
        <v>483</v>
      </c>
      <c r="C810" s="11" t="s">
        <v>484</v>
      </c>
      <c r="D810" s="12">
        <v>1015042</v>
      </c>
      <c r="E810" s="12">
        <v>2</v>
      </c>
      <c r="F810" s="12"/>
      <c r="G810" s="12">
        <v>762</v>
      </c>
      <c r="H810" s="12" t="s">
        <v>116</v>
      </c>
      <c r="I810" s="12"/>
      <c r="J810" s="12" t="s">
        <v>117</v>
      </c>
      <c r="K810" s="12" t="b">
        <v>1</v>
      </c>
      <c r="L810" s="12">
        <v>6</v>
      </c>
      <c r="M810" s="8">
        <v>2020</v>
      </c>
      <c r="N810" s="9">
        <v>1719165.08</v>
      </c>
      <c r="O810" s="9">
        <v>1208884.24</v>
      </c>
      <c r="P810" s="9">
        <v>1334069</v>
      </c>
      <c r="Q810" s="9">
        <v>1364426.36</v>
      </c>
      <c r="R810" s="13">
        <v>41815</v>
      </c>
      <c r="S810" s="13">
        <v>41815</v>
      </c>
    </row>
    <row r="811" spans="1:19">
      <c r="A811" s="10">
        <v>2014</v>
      </c>
      <c r="B811" s="11" t="s">
        <v>483</v>
      </c>
      <c r="C811" s="11" t="s">
        <v>484</v>
      </c>
      <c r="D811" s="12">
        <v>1015042</v>
      </c>
      <c r="E811" s="12">
        <v>2</v>
      </c>
      <c r="F811" s="12"/>
      <c r="G811" s="12">
        <v>762</v>
      </c>
      <c r="H811" s="12" t="s">
        <v>116</v>
      </c>
      <c r="I811" s="12"/>
      <c r="J811" s="12" t="s">
        <v>117</v>
      </c>
      <c r="K811" s="12" t="b">
        <v>1</v>
      </c>
      <c r="L811" s="12">
        <v>0</v>
      </c>
      <c r="M811" s="8">
        <v>2014</v>
      </c>
      <c r="N811" s="9">
        <v>1719165.08</v>
      </c>
      <c r="O811" s="9">
        <v>1208884.24</v>
      </c>
      <c r="P811" s="9">
        <v>1334069</v>
      </c>
      <c r="Q811" s="9">
        <v>1364426.36</v>
      </c>
      <c r="R811" s="13">
        <v>41815</v>
      </c>
      <c r="S811" s="13">
        <v>41815</v>
      </c>
    </row>
    <row r="812" spans="1:19">
      <c r="A812" s="10">
        <v>2014</v>
      </c>
      <c r="B812" s="11" t="s">
        <v>483</v>
      </c>
      <c r="C812" s="11" t="s">
        <v>484</v>
      </c>
      <c r="D812" s="12">
        <v>1015042</v>
      </c>
      <c r="E812" s="12">
        <v>2</v>
      </c>
      <c r="F812" s="12"/>
      <c r="G812" s="12">
        <v>600</v>
      </c>
      <c r="H812" s="12">
        <v>11.3</v>
      </c>
      <c r="I812" s="12" t="s">
        <v>395</v>
      </c>
      <c r="J812" s="12" t="s">
        <v>396</v>
      </c>
      <c r="K812" s="12" t="b">
        <v>1</v>
      </c>
      <c r="L812" s="12">
        <v>2</v>
      </c>
      <c r="M812" s="8">
        <v>2016</v>
      </c>
      <c r="N812" s="9">
        <v>0</v>
      </c>
      <c r="O812" s="9">
        <v>0</v>
      </c>
      <c r="P812" s="9">
        <v>2174969</v>
      </c>
      <c r="Q812" s="9">
        <v>2160506.7200000002</v>
      </c>
      <c r="R812" s="13">
        <v>41815</v>
      </c>
      <c r="S812" s="13">
        <v>41815</v>
      </c>
    </row>
    <row r="813" spans="1:19">
      <c r="A813" s="10">
        <v>2014</v>
      </c>
      <c r="B813" s="11" t="s">
        <v>483</v>
      </c>
      <c r="C813" s="11" t="s">
        <v>484</v>
      </c>
      <c r="D813" s="12">
        <v>1015042</v>
      </c>
      <c r="E813" s="12">
        <v>2</v>
      </c>
      <c r="F813" s="12"/>
      <c r="G813" s="12">
        <v>762</v>
      </c>
      <c r="H813" s="12" t="s">
        <v>116</v>
      </c>
      <c r="I813" s="12"/>
      <c r="J813" s="12" t="s">
        <v>117</v>
      </c>
      <c r="K813" s="12" t="b">
        <v>1</v>
      </c>
      <c r="L813" s="12">
        <v>1</v>
      </c>
      <c r="M813" s="8">
        <v>2015</v>
      </c>
      <c r="N813" s="9">
        <v>1719165.08</v>
      </c>
      <c r="O813" s="9">
        <v>1208884.24</v>
      </c>
      <c r="P813" s="9">
        <v>1334069</v>
      </c>
      <c r="Q813" s="9">
        <v>1364426.36</v>
      </c>
      <c r="R813" s="13">
        <v>41815</v>
      </c>
      <c r="S813" s="13">
        <v>41815</v>
      </c>
    </row>
    <row r="814" spans="1:19">
      <c r="A814" s="10">
        <v>2014</v>
      </c>
      <c r="B814" s="11" t="s">
        <v>483</v>
      </c>
      <c r="C814" s="11" t="s">
        <v>484</v>
      </c>
      <c r="D814" s="12">
        <v>1015042</v>
      </c>
      <c r="E814" s="12">
        <v>2</v>
      </c>
      <c r="F814" s="12"/>
      <c r="G814" s="12">
        <v>762</v>
      </c>
      <c r="H814" s="12" t="s">
        <v>116</v>
      </c>
      <c r="I814" s="12"/>
      <c r="J814" s="12" t="s">
        <v>117</v>
      </c>
      <c r="K814" s="12" t="b">
        <v>1</v>
      </c>
      <c r="L814" s="12">
        <v>5</v>
      </c>
      <c r="M814" s="8">
        <v>2019</v>
      </c>
      <c r="N814" s="9">
        <v>1719165.08</v>
      </c>
      <c r="O814" s="9">
        <v>1208884.24</v>
      </c>
      <c r="P814" s="9">
        <v>1334069</v>
      </c>
      <c r="Q814" s="9">
        <v>1364426.36</v>
      </c>
      <c r="R814" s="13">
        <v>41815</v>
      </c>
      <c r="S814" s="13">
        <v>41815</v>
      </c>
    </row>
    <row r="815" spans="1:19">
      <c r="A815" s="10">
        <v>2014</v>
      </c>
      <c r="B815" s="11" t="s">
        <v>483</v>
      </c>
      <c r="C815" s="11" t="s">
        <v>484</v>
      </c>
      <c r="D815" s="12">
        <v>1015042</v>
      </c>
      <c r="E815" s="12">
        <v>2</v>
      </c>
      <c r="F815" s="12"/>
      <c r="G815" s="12">
        <v>590</v>
      </c>
      <c r="H815" s="12">
        <v>11.2</v>
      </c>
      <c r="I815" s="12"/>
      <c r="J815" s="12" t="s">
        <v>89</v>
      </c>
      <c r="K815" s="12" t="b">
        <v>1</v>
      </c>
      <c r="L815" s="12">
        <v>1</v>
      </c>
      <c r="M815" s="8">
        <v>2015</v>
      </c>
      <c r="N815" s="9">
        <v>983673.41</v>
      </c>
      <c r="O815" s="9">
        <v>1059626.03</v>
      </c>
      <c r="P815" s="9">
        <v>1140180</v>
      </c>
      <c r="Q815" s="9">
        <v>1120588.5900000001</v>
      </c>
      <c r="R815" s="13">
        <v>41815</v>
      </c>
      <c r="S815" s="13">
        <v>41815</v>
      </c>
    </row>
    <row r="816" spans="1:19">
      <c r="A816" s="10">
        <v>2014</v>
      </c>
      <c r="B816" s="11" t="s">
        <v>483</v>
      </c>
      <c r="C816" s="11" t="s">
        <v>484</v>
      </c>
      <c r="D816" s="12">
        <v>1015042</v>
      </c>
      <c r="E816" s="12">
        <v>2</v>
      </c>
      <c r="F816" s="12"/>
      <c r="G816" s="12">
        <v>590</v>
      </c>
      <c r="H816" s="12">
        <v>11.2</v>
      </c>
      <c r="I816" s="12"/>
      <c r="J816" s="12" t="s">
        <v>89</v>
      </c>
      <c r="K816" s="12" t="b">
        <v>1</v>
      </c>
      <c r="L816" s="12">
        <v>6</v>
      </c>
      <c r="M816" s="8">
        <v>2020</v>
      </c>
      <c r="N816" s="9">
        <v>983673.41</v>
      </c>
      <c r="O816" s="9">
        <v>1059626.03</v>
      </c>
      <c r="P816" s="9">
        <v>1140180</v>
      </c>
      <c r="Q816" s="9">
        <v>1120588.5900000001</v>
      </c>
      <c r="R816" s="13">
        <v>41815</v>
      </c>
      <c r="S816" s="13">
        <v>41815</v>
      </c>
    </row>
    <row r="817" spans="1:19">
      <c r="A817" s="10">
        <v>2014</v>
      </c>
      <c r="B817" s="11" t="s">
        <v>483</v>
      </c>
      <c r="C817" s="11" t="s">
        <v>484</v>
      </c>
      <c r="D817" s="12">
        <v>1015042</v>
      </c>
      <c r="E817" s="12">
        <v>2</v>
      </c>
      <c r="F817" s="12"/>
      <c r="G817" s="12">
        <v>590</v>
      </c>
      <c r="H817" s="12">
        <v>11.2</v>
      </c>
      <c r="I817" s="12"/>
      <c r="J817" s="12" t="s">
        <v>89</v>
      </c>
      <c r="K817" s="12" t="b">
        <v>1</v>
      </c>
      <c r="L817" s="12">
        <v>0</v>
      </c>
      <c r="M817" s="8">
        <v>2014</v>
      </c>
      <c r="N817" s="9">
        <v>983673.41</v>
      </c>
      <c r="O817" s="9">
        <v>1059626.03</v>
      </c>
      <c r="P817" s="9">
        <v>1140180</v>
      </c>
      <c r="Q817" s="9">
        <v>1120588.5900000001</v>
      </c>
      <c r="R817" s="13">
        <v>41815</v>
      </c>
      <c r="S817" s="13">
        <v>41815</v>
      </c>
    </row>
    <row r="818" spans="1:19">
      <c r="A818" s="10">
        <v>2014</v>
      </c>
      <c r="B818" s="11" t="s">
        <v>483</v>
      </c>
      <c r="C818" s="11" t="s">
        <v>484</v>
      </c>
      <c r="D818" s="12">
        <v>1015042</v>
      </c>
      <c r="E818" s="12">
        <v>2</v>
      </c>
      <c r="F818" s="12"/>
      <c r="G818" s="12">
        <v>590</v>
      </c>
      <c r="H818" s="12">
        <v>11.2</v>
      </c>
      <c r="I818" s="12"/>
      <c r="J818" s="12" t="s">
        <v>89</v>
      </c>
      <c r="K818" s="12" t="b">
        <v>1</v>
      </c>
      <c r="L818" s="12">
        <v>8</v>
      </c>
      <c r="M818" s="8">
        <v>2022</v>
      </c>
      <c r="N818" s="9">
        <v>983673.41</v>
      </c>
      <c r="O818" s="9">
        <v>1059626.03</v>
      </c>
      <c r="P818" s="9">
        <v>1140180</v>
      </c>
      <c r="Q818" s="9">
        <v>1120588.5900000001</v>
      </c>
      <c r="R818" s="13">
        <v>41815</v>
      </c>
      <c r="S818" s="13">
        <v>41815</v>
      </c>
    </row>
    <row r="819" spans="1:19">
      <c r="A819" s="10">
        <v>2014</v>
      </c>
      <c r="B819" s="11" t="s">
        <v>483</v>
      </c>
      <c r="C819" s="11" t="s">
        <v>484</v>
      </c>
      <c r="D819" s="12">
        <v>1015042</v>
      </c>
      <c r="E819" s="12">
        <v>2</v>
      </c>
      <c r="F819" s="12"/>
      <c r="G819" s="12">
        <v>590</v>
      </c>
      <c r="H819" s="12">
        <v>11.2</v>
      </c>
      <c r="I819" s="12"/>
      <c r="J819" s="12" t="s">
        <v>89</v>
      </c>
      <c r="K819" s="12" t="b">
        <v>1</v>
      </c>
      <c r="L819" s="12">
        <v>4</v>
      </c>
      <c r="M819" s="8">
        <v>2018</v>
      </c>
      <c r="N819" s="9">
        <v>983673.41</v>
      </c>
      <c r="O819" s="9">
        <v>1059626.03</v>
      </c>
      <c r="P819" s="9">
        <v>1140180</v>
      </c>
      <c r="Q819" s="9">
        <v>1120588.5900000001</v>
      </c>
      <c r="R819" s="13">
        <v>41815</v>
      </c>
      <c r="S819" s="13">
        <v>41815</v>
      </c>
    </row>
    <row r="820" spans="1:19">
      <c r="A820" s="10">
        <v>2014</v>
      </c>
      <c r="B820" s="11" t="s">
        <v>483</v>
      </c>
      <c r="C820" s="11" t="s">
        <v>484</v>
      </c>
      <c r="D820" s="12">
        <v>1015042</v>
      </c>
      <c r="E820" s="12">
        <v>2</v>
      </c>
      <c r="F820" s="12"/>
      <c r="G820" s="12">
        <v>590</v>
      </c>
      <c r="H820" s="12">
        <v>11.2</v>
      </c>
      <c r="I820" s="12"/>
      <c r="J820" s="12" t="s">
        <v>89</v>
      </c>
      <c r="K820" s="12" t="b">
        <v>1</v>
      </c>
      <c r="L820" s="12">
        <v>5</v>
      </c>
      <c r="M820" s="8">
        <v>2019</v>
      </c>
      <c r="N820" s="9">
        <v>983673.41</v>
      </c>
      <c r="O820" s="9">
        <v>1059626.03</v>
      </c>
      <c r="P820" s="9">
        <v>1140180</v>
      </c>
      <c r="Q820" s="9">
        <v>1120588.5900000001</v>
      </c>
      <c r="R820" s="13">
        <v>41815</v>
      </c>
      <c r="S820" s="13">
        <v>41815</v>
      </c>
    </row>
    <row r="821" spans="1:19">
      <c r="A821" s="10">
        <v>2014</v>
      </c>
      <c r="B821" s="11" t="s">
        <v>483</v>
      </c>
      <c r="C821" s="11" t="s">
        <v>484</v>
      </c>
      <c r="D821" s="12">
        <v>1015042</v>
      </c>
      <c r="E821" s="12">
        <v>2</v>
      </c>
      <c r="F821" s="12"/>
      <c r="G821" s="12">
        <v>590</v>
      </c>
      <c r="H821" s="12">
        <v>11.2</v>
      </c>
      <c r="I821" s="12"/>
      <c r="J821" s="12" t="s">
        <v>89</v>
      </c>
      <c r="K821" s="12" t="b">
        <v>1</v>
      </c>
      <c r="L821" s="12">
        <v>2</v>
      </c>
      <c r="M821" s="8">
        <v>2016</v>
      </c>
      <c r="N821" s="9">
        <v>983673.41</v>
      </c>
      <c r="O821" s="9">
        <v>1059626.03</v>
      </c>
      <c r="P821" s="9">
        <v>1140180</v>
      </c>
      <c r="Q821" s="9">
        <v>1120588.5900000001</v>
      </c>
      <c r="R821" s="13">
        <v>41815</v>
      </c>
      <c r="S821" s="13">
        <v>41815</v>
      </c>
    </row>
    <row r="822" spans="1:19">
      <c r="A822" s="10">
        <v>2014</v>
      </c>
      <c r="B822" s="11" t="s">
        <v>483</v>
      </c>
      <c r="C822" s="11" t="s">
        <v>484</v>
      </c>
      <c r="D822" s="12">
        <v>1015042</v>
      </c>
      <c r="E822" s="12">
        <v>2</v>
      </c>
      <c r="F822" s="12"/>
      <c r="G822" s="12">
        <v>590</v>
      </c>
      <c r="H822" s="12">
        <v>11.2</v>
      </c>
      <c r="I822" s="12"/>
      <c r="J822" s="12" t="s">
        <v>89</v>
      </c>
      <c r="K822" s="12" t="b">
        <v>1</v>
      </c>
      <c r="L822" s="12">
        <v>7</v>
      </c>
      <c r="M822" s="8">
        <v>2021</v>
      </c>
      <c r="N822" s="9">
        <v>983673.41</v>
      </c>
      <c r="O822" s="9">
        <v>1059626.03</v>
      </c>
      <c r="P822" s="9">
        <v>1140180</v>
      </c>
      <c r="Q822" s="9">
        <v>1120588.5900000001</v>
      </c>
      <c r="R822" s="13">
        <v>41815</v>
      </c>
      <c r="S822" s="13">
        <v>41815</v>
      </c>
    </row>
    <row r="823" spans="1:19">
      <c r="A823" s="10">
        <v>2014</v>
      </c>
      <c r="B823" s="11" t="s">
        <v>483</v>
      </c>
      <c r="C823" s="11" t="s">
        <v>484</v>
      </c>
      <c r="D823" s="12">
        <v>1015042</v>
      </c>
      <c r="E823" s="12">
        <v>2</v>
      </c>
      <c r="F823" s="12"/>
      <c r="G823" s="12">
        <v>590</v>
      </c>
      <c r="H823" s="12">
        <v>11.2</v>
      </c>
      <c r="I823" s="12"/>
      <c r="J823" s="12" t="s">
        <v>89</v>
      </c>
      <c r="K823" s="12" t="b">
        <v>1</v>
      </c>
      <c r="L823" s="12">
        <v>3</v>
      </c>
      <c r="M823" s="8">
        <v>2017</v>
      </c>
      <c r="N823" s="9">
        <v>983673.41</v>
      </c>
      <c r="O823" s="9">
        <v>1059626.03</v>
      </c>
      <c r="P823" s="9">
        <v>1140180</v>
      </c>
      <c r="Q823" s="9">
        <v>1120588.5900000001</v>
      </c>
      <c r="R823" s="13">
        <v>41815</v>
      </c>
      <c r="S823" s="13">
        <v>41815</v>
      </c>
    </row>
    <row r="824" spans="1:19">
      <c r="A824" s="10">
        <v>2014</v>
      </c>
      <c r="B824" s="11" t="s">
        <v>483</v>
      </c>
      <c r="C824" s="11" t="s">
        <v>484</v>
      </c>
      <c r="D824" s="12">
        <v>1015042</v>
      </c>
      <c r="E824" s="12">
        <v>2</v>
      </c>
      <c r="F824" s="12"/>
      <c r="G824" s="12">
        <v>580</v>
      </c>
      <c r="H824" s="12">
        <v>11.1</v>
      </c>
      <c r="I824" s="12"/>
      <c r="J824" s="12" t="s">
        <v>88</v>
      </c>
      <c r="K824" s="12" t="b">
        <v>0</v>
      </c>
      <c r="L824" s="12">
        <v>1</v>
      </c>
      <c r="M824" s="8">
        <v>2015</v>
      </c>
      <c r="N824" s="9">
        <v>2993214.77</v>
      </c>
      <c r="O824" s="9">
        <v>3090382.07</v>
      </c>
      <c r="P824" s="9">
        <v>3291255.32</v>
      </c>
      <c r="Q824" s="9">
        <v>3149222.43</v>
      </c>
      <c r="R824" s="13">
        <v>41815</v>
      </c>
      <c r="S824" s="13">
        <v>41815</v>
      </c>
    </row>
    <row r="825" spans="1:19">
      <c r="A825" s="10">
        <v>2014</v>
      </c>
      <c r="B825" s="11" t="s">
        <v>483</v>
      </c>
      <c r="C825" s="11" t="s">
        <v>484</v>
      </c>
      <c r="D825" s="12">
        <v>1015042</v>
      </c>
      <c r="E825" s="12">
        <v>2</v>
      </c>
      <c r="F825" s="12"/>
      <c r="G825" s="12">
        <v>580</v>
      </c>
      <c r="H825" s="12">
        <v>11.1</v>
      </c>
      <c r="I825" s="12"/>
      <c r="J825" s="12" t="s">
        <v>88</v>
      </c>
      <c r="K825" s="12" t="b">
        <v>0</v>
      </c>
      <c r="L825" s="12">
        <v>0</v>
      </c>
      <c r="M825" s="8">
        <v>2014</v>
      </c>
      <c r="N825" s="9">
        <v>2993214.77</v>
      </c>
      <c r="O825" s="9">
        <v>3090382.07</v>
      </c>
      <c r="P825" s="9">
        <v>3291255.32</v>
      </c>
      <c r="Q825" s="9">
        <v>3149222.43</v>
      </c>
      <c r="R825" s="13">
        <v>41815</v>
      </c>
      <c r="S825" s="13">
        <v>41815</v>
      </c>
    </row>
    <row r="826" spans="1:19">
      <c r="A826" s="10">
        <v>2014</v>
      </c>
      <c r="B826" s="11" t="s">
        <v>483</v>
      </c>
      <c r="C826" s="11" t="s">
        <v>484</v>
      </c>
      <c r="D826" s="12">
        <v>1015042</v>
      </c>
      <c r="E826" s="12">
        <v>2</v>
      </c>
      <c r="F826" s="12"/>
      <c r="G826" s="12">
        <v>580</v>
      </c>
      <c r="H826" s="12">
        <v>11.1</v>
      </c>
      <c r="I826" s="12"/>
      <c r="J826" s="12" t="s">
        <v>88</v>
      </c>
      <c r="K826" s="12" t="b">
        <v>0</v>
      </c>
      <c r="L826" s="12">
        <v>6</v>
      </c>
      <c r="M826" s="8">
        <v>2020</v>
      </c>
      <c r="N826" s="9">
        <v>2993214.77</v>
      </c>
      <c r="O826" s="9">
        <v>3090382.07</v>
      </c>
      <c r="P826" s="9">
        <v>3291255.32</v>
      </c>
      <c r="Q826" s="9">
        <v>3149222.43</v>
      </c>
      <c r="R826" s="13">
        <v>41815</v>
      </c>
      <c r="S826" s="13">
        <v>41815</v>
      </c>
    </row>
    <row r="827" spans="1:19">
      <c r="A827" s="10">
        <v>2014</v>
      </c>
      <c r="B827" s="11" t="s">
        <v>483</v>
      </c>
      <c r="C827" s="11" t="s">
        <v>484</v>
      </c>
      <c r="D827" s="12">
        <v>1015042</v>
      </c>
      <c r="E827" s="12">
        <v>2</v>
      </c>
      <c r="F827" s="12"/>
      <c r="G827" s="12">
        <v>580</v>
      </c>
      <c r="H827" s="12">
        <v>11.1</v>
      </c>
      <c r="I827" s="12"/>
      <c r="J827" s="12" t="s">
        <v>88</v>
      </c>
      <c r="K827" s="12" t="b">
        <v>0</v>
      </c>
      <c r="L827" s="12">
        <v>5</v>
      </c>
      <c r="M827" s="8">
        <v>2019</v>
      </c>
      <c r="N827" s="9">
        <v>2993214.77</v>
      </c>
      <c r="O827" s="9">
        <v>3090382.07</v>
      </c>
      <c r="P827" s="9">
        <v>3291255.32</v>
      </c>
      <c r="Q827" s="9">
        <v>3149222.43</v>
      </c>
      <c r="R827" s="13">
        <v>41815</v>
      </c>
      <c r="S827" s="13">
        <v>41815</v>
      </c>
    </row>
    <row r="828" spans="1:19">
      <c r="A828" s="10">
        <v>2014</v>
      </c>
      <c r="B828" s="11" t="s">
        <v>483</v>
      </c>
      <c r="C828" s="11" t="s">
        <v>484</v>
      </c>
      <c r="D828" s="12">
        <v>1015042</v>
      </c>
      <c r="E828" s="12">
        <v>2</v>
      </c>
      <c r="F828" s="12"/>
      <c r="G828" s="12">
        <v>580</v>
      </c>
      <c r="H828" s="12">
        <v>11.1</v>
      </c>
      <c r="I828" s="12"/>
      <c r="J828" s="12" t="s">
        <v>88</v>
      </c>
      <c r="K828" s="12" t="b">
        <v>0</v>
      </c>
      <c r="L828" s="12">
        <v>4</v>
      </c>
      <c r="M828" s="8">
        <v>2018</v>
      </c>
      <c r="N828" s="9">
        <v>2993214.77</v>
      </c>
      <c r="O828" s="9">
        <v>3090382.07</v>
      </c>
      <c r="P828" s="9">
        <v>3291255.32</v>
      </c>
      <c r="Q828" s="9">
        <v>3149222.43</v>
      </c>
      <c r="R828" s="13">
        <v>41815</v>
      </c>
      <c r="S828" s="13">
        <v>41815</v>
      </c>
    </row>
    <row r="829" spans="1:19">
      <c r="A829" s="10">
        <v>2014</v>
      </c>
      <c r="B829" s="11" t="s">
        <v>483</v>
      </c>
      <c r="C829" s="11" t="s">
        <v>484</v>
      </c>
      <c r="D829" s="12">
        <v>1015042</v>
      </c>
      <c r="E829" s="12">
        <v>2</v>
      </c>
      <c r="F829" s="12"/>
      <c r="G829" s="12">
        <v>580</v>
      </c>
      <c r="H829" s="12">
        <v>11.1</v>
      </c>
      <c r="I829" s="12"/>
      <c r="J829" s="12" t="s">
        <v>88</v>
      </c>
      <c r="K829" s="12" t="b">
        <v>0</v>
      </c>
      <c r="L829" s="12">
        <v>7</v>
      </c>
      <c r="M829" s="8">
        <v>2021</v>
      </c>
      <c r="N829" s="9">
        <v>2993214.77</v>
      </c>
      <c r="O829" s="9">
        <v>3090382.07</v>
      </c>
      <c r="P829" s="9">
        <v>3291255.32</v>
      </c>
      <c r="Q829" s="9">
        <v>3149222.43</v>
      </c>
      <c r="R829" s="13">
        <v>41815</v>
      </c>
      <c r="S829" s="13">
        <v>41815</v>
      </c>
    </row>
    <row r="830" spans="1:19">
      <c r="A830" s="10">
        <v>2014</v>
      </c>
      <c r="B830" s="11" t="s">
        <v>483</v>
      </c>
      <c r="C830" s="11" t="s">
        <v>484</v>
      </c>
      <c r="D830" s="12">
        <v>1015042</v>
      </c>
      <c r="E830" s="12">
        <v>2</v>
      </c>
      <c r="F830" s="12"/>
      <c r="G830" s="12">
        <v>580</v>
      </c>
      <c r="H830" s="12">
        <v>11.1</v>
      </c>
      <c r="I830" s="12"/>
      <c r="J830" s="12" t="s">
        <v>88</v>
      </c>
      <c r="K830" s="12" t="b">
        <v>0</v>
      </c>
      <c r="L830" s="12">
        <v>3</v>
      </c>
      <c r="M830" s="8">
        <v>2017</v>
      </c>
      <c r="N830" s="9">
        <v>2993214.77</v>
      </c>
      <c r="O830" s="9">
        <v>3090382.07</v>
      </c>
      <c r="P830" s="9">
        <v>3291255.32</v>
      </c>
      <c r="Q830" s="9">
        <v>3149222.43</v>
      </c>
      <c r="R830" s="13">
        <v>41815</v>
      </c>
      <c r="S830" s="13">
        <v>41815</v>
      </c>
    </row>
    <row r="831" spans="1:19">
      <c r="A831" s="10">
        <v>2014</v>
      </c>
      <c r="B831" s="11" t="s">
        <v>483</v>
      </c>
      <c r="C831" s="11" t="s">
        <v>484</v>
      </c>
      <c r="D831" s="12">
        <v>1015042</v>
      </c>
      <c r="E831" s="12">
        <v>2</v>
      </c>
      <c r="F831" s="12"/>
      <c r="G831" s="12">
        <v>580</v>
      </c>
      <c r="H831" s="12">
        <v>11.1</v>
      </c>
      <c r="I831" s="12"/>
      <c r="J831" s="12" t="s">
        <v>88</v>
      </c>
      <c r="K831" s="12" t="b">
        <v>0</v>
      </c>
      <c r="L831" s="12">
        <v>2</v>
      </c>
      <c r="M831" s="8">
        <v>2016</v>
      </c>
      <c r="N831" s="9">
        <v>2993214.77</v>
      </c>
      <c r="O831" s="9">
        <v>3090382.07</v>
      </c>
      <c r="P831" s="9">
        <v>3291255.32</v>
      </c>
      <c r="Q831" s="9">
        <v>3149222.43</v>
      </c>
      <c r="R831" s="13">
        <v>41815</v>
      </c>
      <c r="S831" s="13">
        <v>41815</v>
      </c>
    </row>
    <row r="832" spans="1:19">
      <c r="A832" s="10">
        <v>2014</v>
      </c>
      <c r="B832" s="11" t="s">
        <v>483</v>
      </c>
      <c r="C832" s="11" t="s">
        <v>484</v>
      </c>
      <c r="D832" s="12">
        <v>1015042</v>
      </c>
      <c r="E832" s="12">
        <v>2</v>
      </c>
      <c r="F832" s="12"/>
      <c r="G832" s="12">
        <v>580</v>
      </c>
      <c r="H832" s="12">
        <v>11.1</v>
      </c>
      <c r="I832" s="12"/>
      <c r="J832" s="12" t="s">
        <v>88</v>
      </c>
      <c r="K832" s="12" t="b">
        <v>0</v>
      </c>
      <c r="L832" s="12">
        <v>8</v>
      </c>
      <c r="M832" s="8">
        <v>2022</v>
      </c>
      <c r="N832" s="9">
        <v>2993214.77</v>
      </c>
      <c r="O832" s="9">
        <v>3090382.07</v>
      </c>
      <c r="P832" s="9">
        <v>3291255.32</v>
      </c>
      <c r="Q832" s="9">
        <v>3149222.43</v>
      </c>
      <c r="R832" s="13">
        <v>41815</v>
      </c>
      <c r="S832" s="13">
        <v>41815</v>
      </c>
    </row>
    <row r="833" spans="1:19">
      <c r="A833" s="10">
        <v>2014</v>
      </c>
      <c r="B833" s="11" t="s">
        <v>483</v>
      </c>
      <c r="C833" s="11" t="s">
        <v>484</v>
      </c>
      <c r="D833" s="12">
        <v>1015042</v>
      </c>
      <c r="E833" s="12">
        <v>2</v>
      </c>
      <c r="F833" s="12"/>
      <c r="G833" s="12">
        <v>600</v>
      </c>
      <c r="H833" s="12">
        <v>11.3</v>
      </c>
      <c r="I833" s="12" t="s">
        <v>395</v>
      </c>
      <c r="J833" s="12" t="s">
        <v>396</v>
      </c>
      <c r="K833" s="12" t="b">
        <v>1</v>
      </c>
      <c r="L833" s="12">
        <v>8</v>
      </c>
      <c r="M833" s="8">
        <v>2022</v>
      </c>
      <c r="N833" s="9">
        <v>0</v>
      </c>
      <c r="O833" s="9">
        <v>0</v>
      </c>
      <c r="P833" s="9">
        <v>2174969</v>
      </c>
      <c r="Q833" s="9">
        <v>2160506.7200000002</v>
      </c>
      <c r="R833" s="13">
        <v>41815</v>
      </c>
      <c r="S833" s="13">
        <v>41815</v>
      </c>
    </row>
    <row r="834" spans="1:19">
      <c r="A834" s="10">
        <v>2014</v>
      </c>
      <c r="B834" s="11" t="s">
        <v>483</v>
      </c>
      <c r="C834" s="11" t="s">
        <v>484</v>
      </c>
      <c r="D834" s="12">
        <v>1015042</v>
      </c>
      <c r="E834" s="12">
        <v>2</v>
      </c>
      <c r="F834" s="12"/>
      <c r="G834" s="12">
        <v>600</v>
      </c>
      <c r="H834" s="12">
        <v>11.3</v>
      </c>
      <c r="I834" s="12" t="s">
        <v>395</v>
      </c>
      <c r="J834" s="12" t="s">
        <v>396</v>
      </c>
      <c r="K834" s="12" t="b">
        <v>1</v>
      </c>
      <c r="L834" s="12">
        <v>7</v>
      </c>
      <c r="M834" s="8">
        <v>2021</v>
      </c>
      <c r="N834" s="9">
        <v>0</v>
      </c>
      <c r="O834" s="9">
        <v>0</v>
      </c>
      <c r="P834" s="9">
        <v>2174969</v>
      </c>
      <c r="Q834" s="9">
        <v>2160506.7200000002</v>
      </c>
      <c r="R834" s="13">
        <v>41815</v>
      </c>
      <c r="S834" s="13">
        <v>41815</v>
      </c>
    </row>
    <row r="835" spans="1:19">
      <c r="A835" s="10">
        <v>2014</v>
      </c>
      <c r="B835" s="11" t="s">
        <v>483</v>
      </c>
      <c r="C835" s="11" t="s">
        <v>484</v>
      </c>
      <c r="D835" s="12">
        <v>1015042</v>
      </c>
      <c r="E835" s="12">
        <v>2</v>
      </c>
      <c r="F835" s="12"/>
      <c r="G835" s="12">
        <v>600</v>
      </c>
      <c r="H835" s="12">
        <v>11.3</v>
      </c>
      <c r="I835" s="12" t="s">
        <v>395</v>
      </c>
      <c r="J835" s="12" t="s">
        <v>396</v>
      </c>
      <c r="K835" s="12" t="b">
        <v>1</v>
      </c>
      <c r="L835" s="12">
        <v>5</v>
      </c>
      <c r="M835" s="8">
        <v>2019</v>
      </c>
      <c r="N835" s="9">
        <v>0</v>
      </c>
      <c r="O835" s="9">
        <v>0</v>
      </c>
      <c r="P835" s="9">
        <v>2174969</v>
      </c>
      <c r="Q835" s="9">
        <v>2160506.7200000002</v>
      </c>
      <c r="R835" s="13">
        <v>41815</v>
      </c>
      <c r="S835" s="13">
        <v>41815</v>
      </c>
    </row>
    <row r="836" spans="1:19">
      <c r="A836" s="10">
        <v>2014</v>
      </c>
      <c r="B836" s="11" t="s">
        <v>483</v>
      </c>
      <c r="C836" s="11" t="s">
        <v>484</v>
      </c>
      <c r="D836" s="12">
        <v>1015042</v>
      </c>
      <c r="E836" s="12">
        <v>2</v>
      </c>
      <c r="F836" s="12"/>
      <c r="G836" s="12">
        <v>600</v>
      </c>
      <c r="H836" s="12">
        <v>11.3</v>
      </c>
      <c r="I836" s="12" t="s">
        <v>395</v>
      </c>
      <c r="J836" s="12" t="s">
        <v>396</v>
      </c>
      <c r="K836" s="12" t="b">
        <v>1</v>
      </c>
      <c r="L836" s="12">
        <v>4</v>
      </c>
      <c r="M836" s="8">
        <v>2018</v>
      </c>
      <c r="N836" s="9">
        <v>0</v>
      </c>
      <c r="O836" s="9">
        <v>0</v>
      </c>
      <c r="P836" s="9">
        <v>2174969</v>
      </c>
      <c r="Q836" s="9">
        <v>2160506.7200000002</v>
      </c>
      <c r="R836" s="13">
        <v>41815</v>
      </c>
      <c r="S836" s="13">
        <v>41815</v>
      </c>
    </row>
    <row r="837" spans="1:19">
      <c r="A837" s="10">
        <v>2014</v>
      </c>
      <c r="B837" s="11" t="s">
        <v>483</v>
      </c>
      <c r="C837" s="11" t="s">
        <v>484</v>
      </c>
      <c r="D837" s="12">
        <v>1015042</v>
      </c>
      <c r="E837" s="12">
        <v>2</v>
      </c>
      <c r="F837" s="12"/>
      <c r="G837" s="12">
        <v>600</v>
      </c>
      <c r="H837" s="12">
        <v>11.3</v>
      </c>
      <c r="I837" s="12" t="s">
        <v>395</v>
      </c>
      <c r="J837" s="12" t="s">
        <v>396</v>
      </c>
      <c r="K837" s="12" t="b">
        <v>1</v>
      </c>
      <c r="L837" s="12">
        <v>3</v>
      </c>
      <c r="M837" s="8">
        <v>2017</v>
      </c>
      <c r="N837" s="9">
        <v>0</v>
      </c>
      <c r="O837" s="9">
        <v>0</v>
      </c>
      <c r="P837" s="9">
        <v>2174969</v>
      </c>
      <c r="Q837" s="9">
        <v>2160506.7200000002</v>
      </c>
      <c r="R837" s="13">
        <v>41815</v>
      </c>
      <c r="S837" s="13">
        <v>41815</v>
      </c>
    </row>
    <row r="838" spans="1:19">
      <c r="A838" s="10">
        <v>2014</v>
      </c>
      <c r="B838" s="11" t="s">
        <v>483</v>
      </c>
      <c r="C838" s="11" t="s">
        <v>484</v>
      </c>
      <c r="D838" s="12">
        <v>1015042</v>
      </c>
      <c r="E838" s="12">
        <v>2</v>
      </c>
      <c r="F838" s="12"/>
      <c r="G838" s="12">
        <v>600</v>
      </c>
      <c r="H838" s="12">
        <v>11.3</v>
      </c>
      <c r="I838" s="12" t="s">
        <v>395</v>
      </c>
      <c r="J838" s="12" t="s">
        <v>396</v>
      </c>
      <c r="K838" s="12" t="b">
        <v>1</v>
      </c>
      <c r="L838" s="12">
        <v>6</v>
      </c>
      <c r="M838" s="8">
        <v>2020</v>
      </c>
      <c r="N838" s="9">
        <v>0</v>
      </c>
      <c r="O838" s="9">
        <v>0</v>
      </c>
      <c r="P838" s="9">
        <v>2174969</v>
      </c>
      <c r="Q838" s="9">
        <v>2160506.7200000002</v>
      </c>
      <c r="R838" s="13">
        <v>41815</v>
      </c>
      <c r="S838" s="13">
        <v>41815</v>
      </c>
    </row>
    <row r="839" spans="1:19">
      <c r="A839" s="10">
        <v>2014</v>
      </c>
      <c r="B839" s="11" t="s">
        <v>483</v>
      </c>
      <c r="C839" s="11" t="s">
        <v>484</v>
      </c>
      <c r="D839" s="12">
        <v>1015042</v>
      </c>
      <c r="E839" s="12">
        <v>2</v>
      </c>
      <c r="F839" s="12"/>
      <c r="G839" s="12">
        <v>600</v>
      </c>
      <c r="H839" s="12">
        <v>11.3</v>
      </c>
      <c r="I839" s="12" t="s">
        <v>395</v>
      </c>
      <c r="J839" s="12" t="s">
        <v>396</v>
      </c>
      <c r="K839" s="12" t="b">
        <v>1</v>
      </c>
      <c r="L839" s="12">
        <v>0</v>
      </c>
      <c r="M839" s="8">
        <v>2014</v>
      </c>
      <c r="N839" s="9">
        <v>0</v>
      </c>
      <c r="O839" s="9">
        <v>0</v>
      </c>
      <c r="P839" s="9">
        <v>2174969</v>
      </c>
      <c r="Q839" s="9">
        <v>2160506.7200000002</v>
      </c>
      <c r="R839" s="13">
        <v>41815</v>
      </c>
      <c r="S839" s="13">
        <v>41815</v>
      </c>
    </row>
    <row r="840" spans="1:19">
      <c r="A840" s="10">
        <v>2014</v>
      </c>
      <c r="B840" s="11" t="s">
        <v>483</v>
      </c>
      <c r="C840" s="11" t="s">
        <v>484</v>
      </c>
      <c r="D840" s="12">
        <v>1015042</v>
      </c>
      <c r="E840" s="12">
        <v>2</v>
      </c>
      <c r="F840" s="12"/>
      <c r="G840" s="12">
        <v>520</v>
      </c>
      <c r="H840" s="12" t="s">
        <v>83</v>
      </c>
      <c r="I840" s="12"/>
      <c r="J840" s="12" t="s">
        <v>390</v>
      </c>
      <c r="K840" s="12" t="b">
        <v>1</v>
      </c>
      <c r="L840" s="12">
        <v>3</v>
      </c>
      <c r="M840" s="8">
        <v>2017</v>
      </c>
      <c r="N840" s="9">
        <v>0</v>
      </c>
      <c r="O840" s="9">
        <v>0</v>
      </c>
      <c r="P840" s="9">
        <v>0</v>
      </c>
      <c r="Q840" s="9">
        <v>0</v>
      </c>
      <c r="R840" s="13">
        <v>41815</v>
      </c>
      <c r="S840" s="13">
        <v>41815</v>
      </c>
    </row>
    <row r="841" spans="1:19">
      <c r="A841" s="10">
        <v>2014</v>
      </c>
      <c r="B841" s="11" t="s">
        <v>483</v>
      </c>
      <c r="C841" s="11" t="s">
        <v>484</v>
      </c>
      <c r="D841" s="12">
        <v>1015042</v>
      </c>
      <c r="E841" s="12">
        <v>2</v>
      </c>
      <c r="F841" s="12"/>
      <c r="G841" s="12">
        <v>520</v>
      </c>
      <c r="H841" s="12" t="s">
        <v>83</v>
      </c>
      <c r="I841" s="12"/>
      <c r="J841" s="12" t="s">
        <v>390</v>
      </c>
      <c r="K841" s="12" t="b">
        <v>1</v>
      </c>
      <c r="L841" s="12">
        <v>0</v>
      </c>
      <c r="M841" s="8">
        <v>2014</v>
      </c>
      <c r="N841" s="9">
        <v>0</v>
      </c>
      <c r="O841" s="9">
        <v>0</v>
      </c>
      <c r="P841" s="9">
        <v>0</v>
      </c>
      <c r="Q841" s="9">
        <v>0</v>
      </c>
      <c r="R841" s="13">
        <v>41815</v>
      </c>
      <c r="S841" s="13">
        <v>41815</v>
      </c>
    </row>
    <row r="842" spans="1:19">
      <c r="A842" s="10">
        <v>2014</v>
      </c>
      <c r="B842" s="11" t="s">
        <v>483</v>
      </c>
      <c r="C842" s="11" t="s">
        <v>484</v>
      </c>
      <c r="D842" s="12">
        <v>1015042</v>
      </c>
      <c r="E842" s="12">
        <v>2</v>
      </c>
      <c r="F842" s="12"/>
      <c r="G842" s="12">
        <v>520</v>
      </c>
      <c r="H842" s="12" t="s">
        <v>83</v>
      </c>
      <c r="I842" s="12"/>
      <c r="J842" s="12" t="s">
        <v>390</v>
      </c>
      <c r="K842" s="12" t="b">
        <v>1</v>
      </c>
      <c r="L842" s="12">
        <v>1</v>
      </c>
      <c r="M842" s="8">
        <v>2015</v>
      </c>
      <c r="N842" s="9">
        <v>0</v>
      </c>
      <c r="O842" s="9">
        <v>0</v>
      </c>
      <c r="P842" s="9">
        <v>0</v>
      </c>
      <c r="Q842" s="9">
        <v>0</v>
      </c>
      <c r="R842" s="13">
        <v>41815</v>
      </c>
      <c r="S842" s="13">
        <v>41815</v>
      </c>
    </row>
    <row r="843" spans="1:19">
      <c r="A843" s="10">
        <v>2014</v>
      </c>
      <c r="B843" s="11" t="s">
        <v>483</v>
      </c>
      <c r="C843" s="11" t="s">
        <v>484</v>
      </c>
      <c r="D843" s="12">
        <v>1015042</v>
      </c>
      <c r="E843" s="12">
        <v>2</v>
      </c>
      <c r="F843" s="12"/>
      <c r="G843" s="12">
        <v>520</v>
      </c>
      <c r="H843" s="12" t="s">
        <v>83</v>
      </c>
      <c r="I843" s="12"/>
      <c r="J843" s="12" t="s">
        <v>390</v>
      </c>
      <c r="K843" s="12" t="b">
        <v>1</v>
      </c>
      <c r="L843" s="12">
        <v>5</v>
      </c>
      <c r="M843" s="8">
        <v>2019</v>
      </c>
      <c r="N843" s="9">
        <v>0</v>
      </c>
      <c r="O843" s="9">
        <v>0</v>
      </c>
      <c r="P843" s="9">
        <v>0</v>
      </c>
      <c r="Q843" s="9">
        <v>0</v>
      </c>
      <c r="R843" s="13">
        <v>41815</v>
      </c>
      <c r="S843" s="13">
        <v>41815</v>
      </c>
    </row>
    <row r="844" spans="1:19">
      <c r="A844" s="10">
        <v>2014</v>
      </c>
      <c r="B844" s="11" t="s">
        <v>483</v>
      </c>
      <c r="C844" s="11" t="s">
        <v>484</v>
      </c>
      <c r="D844" s="12">
        <v>1015042</v>
      </c>
      <c r="E844" s="12">
        <v>2</v>
      </c>
      <c r="F844" s="12"/>
      <c r="G844" s="12">
        <v>520</v>
      </c>
      <c r="H844" s="12" t="s">
        <v>83</v>
      </c>
      <c r="I844" s="12"/>
      <c r="J844" s="12" t="s">
        <v>390</v>
      </c>
      <c r="K844" s="12" t="b">
        <v>1</v>
      </c>
      <c r="L844" s="12">
        <v>4</v>
      </c>
      <c r="M844" s="8">
        <v>2018</v>
      </c>
      <c r="N844" s="9">
        <v>0</v>
      </c>
      <c r="O844" s="9">
        <v>0</v>
      </c>
      <c r="P844" s="9">
        <v>0</v>
      </c>
      <c r="Q844" s="9">
        <v>0</v>
      </c>
      <c r="R844" s="13">
        <v>41815</v>
      </c>
      <c r="S844" s="13">
        <v>41815</v>
      </c>
    </row>
    <row r="845" spans="1:19">
      <c r="A845" s="10">
        <v>2014</v>
      </c>
      <c r="B845" s="11" t="s">
        <v>483</v>
      </c>
      <c r="C845" s="11" t="s">
        <v>484</v>
      </c>
      <c r="D845" s="12">
        <v>1015042</v>
      </c>
      <c r="E845" s="12">
        <v>2</v>
      </c>
      <c r="F845" s="12"/>
      <c r="G845" s="12">
        <v>520</v>
      </c>
      <c r="H845" s="12" t="s">
        <v>83</v>
      </c>
      <c r="I845" s="12"/>
      <c r="J845" s="12" t="s">
        <v>390</v>
      </c>
      <c r="K845" s="12" t="b">
        <v>1</v>
      </c>
      <c r="L845" s="12">
        <v>7</v>
      </c>
      <c r="M845" s="8">
        <v>2021</v>
      </c>
      <c r="N845" s="9">
        <v>0</v>
      </c>
      <c r="O845" s="9">
        <v>0</v>
      </c>
      <c r="P845" s="9">
        <v>0</v>
      </c>
      <c r="Q845" s="9">
        <v>0</v>
      </c>
      <c r="R845" s="13">
        <v>41815</v>
      </c>
      <c r="S845" s="13">
        <v>41815</v>
      </c>
    </row>
    <row r="846" spans="1:19">
      <c r="A846" s="10">
        <v>2014</v>
      </c>
      <c r="B846" s="11" t="s">
        <v>483</v>
      </c>
      <c r="C846" s="11" t="s">
        <v>484</v>
      </c>
      <c r="D846" s="12">
        <v>1015042</v>
      </c>
      <c r="E846" s="12">
        <v>2</v>
      </c>
      <c r="F846" s="12"/>
      <c r="G846" s="12">
        <v>520</v>
      </c>
      <c r="H846" s="12" t="s">
        <v>83</v>
      </c>
      <c r="I846" s="12"/>
      <c r="J846" s="12" t="s">
        <v>390</v>
      </c>
      <c r="K846" s="12" t="b">
        <v>1</v>
      </c>
      <c r="L846" s="12">
        <v>2</v>
      </c>
      <c r="M846" s="8">
        <v>2016</v>
      </c>
      <c r="N846" s="9">
        <v>0</v>
      </c>
      <c r="O846" s="9">
        <v>0</v>
      </c>
      <c r="P846" s="9">
        <v>0</v>
      </c>
      <c r="Q846" s="9">
        <v>0</v>
      </c>
      <c r="R846" s="13">
        <v>41815</v>
      </c>
      <c r="S846" s="13">
        <v>41815</v>
      </c>
    </row>
    <row r="847" spans="1:19">
      <c r="A847" s="10">
        <v>2014</v>
      </c>
      <c r="B847" s="11" t="s">
        <v>483</v>
      </c>
      <c r="C847" s="11" t="s">
        <v>484</v>
      </c>
      <c r="D847" s="12">
        <v>1015042</v>
      </c>
      <c r="E847" s="12">
        <v>2</v>
      </c>
      <c r="F847" s="12"/>
      <c r="G847" s="12">
        <v>520</v>
      </c>
      <c r="H847" s="12" t="s">
        <v>83</v>
      </c>
      <c r="I847" s="12"/>
      <c r="J847" s="12" t="s">
        <v>390</v>
      </c>
      <c r="K847" s="12" t="b">
        <v>1</v>
      </c>
      <c r="L847" s="12">
        <v>6</v>
      </c>
      <c r="M847" s="8">
        <v>2020</v>
      </c>
      <c r="N847" s="9">
        <v>0</v>
      </c>
      <c r="O847" s="9">
        <v>0</v>
      </c>
      <c r="P847" s="9">
        <v>0</v>
      </c>
      <c r="Q847" s="9">
        <v>0</v>
      </c>
      <c r="R847" s="13">
        <v>41815</v>
      </c>
      <c r="S847" s="13">
        <v>41815</v>
      </c>
    </row>
    <row r="848" spans="1:19">
      <c r="A848" s="10">
        <v>2014</v>
      </c>
      <c r="B848" s="11" t="s">
        <v>483</v>
      </c>
      <c r="C848" s="11" t="s">
        <v>484</v>
      </c>
      <c r="D848" s="12">
        <v>1015042</v>
      </c>
      <c r="E848" s="12">
        <v>2</v>
      </c>
      <c r="F848" s="12"/>
      <c r="G848" s="12">
        <v>520</v>
      </c>
      <c r="H848" s="12" t="s">
        <v>83</v>
      </c>
      <c r="I848" s="12"/>
      <c r="J848" s="12" t="s">
        <v>390</v>
      </c>
      <c r="K848" s="12" t="b">
        <v>1</v>
      </c>
      <c r="L848" s="12">
        <v>8</v>
      </c>
      <c r="M848" s="8">
        <v>2022</v>
      </c>
      <c r="N848" s="9">
        <v>0</v>
      </c>
      <c r="O848" s="9">
        <v>0</v>
      </c>
      <c r="P848" s="9">
        <v>0</v>
      </c>
      <c r="Q848" s="9">
        <v>0</v>
      </c>
      <c r="R848" s="13">
        <v>41815</v>
      </c>
      <c r="S848" s="13">
        <v>41815</v>
      </c>
    </row>
    <row r="849" spans="1:19">
      <c r="A849" s="10">
        <v>2014</v>
      </c>
      <c r="B849" s="11" t="s">
        <v>483</v>
      </c>
      <c r="C849" s="11" t="s">
        <v>484</v>
      </c>
      <c r="D849" s="12">
        <v>1015042</v>
      </c>
      <c r="E849" s="12">
        <v>2</v>
      </c>
      <c r="F849" s="12"/>
      <c r="G849" s="12">
        <v>490</v>
      </c>
      <c r="H849" s="12">
        <v>9.3000000000000007</v>
      </c>
      <c r="I849" s="12"/>
      <c r="J849" s="12" t="s">
        <v>383</v>
      </c>
      <c r="K849" s="12" t="b">
        <v>1</v>
      </c>
      <c r="L849" s="12">
        <v>7</v>
      </c>
      <c r="M849" s="8">
        <v>2021</v>
      </c>
      <c r="N849" s="9">
        <v>0</v>
      </c>
      <c r="O849" s="9">
        <v>0</v>
      </c>
      <c r="P849" s="9">
        <v>0</v>
      </c>
      <c r="Q849" s="9">
        <v>0</v>
      </c>
      <c r="R849" s="13">
        <v>41815</v>
      </c>
      <c r="S849" s="13">
        <v>41815</v>
      </c>
    </row>
    <row r="850" spans="1:19">
      <c r="A850" s="10">
        <v>2014</v>
      </c>
      <c r="B850" s="11" t="s">
        <v>483</v>
      </c>
      <c r="C850" s="11" t="s">
        <v>484</v>
      </c>
      <c r="D850" s="12">
        <v>1015042</v>
      </c>
      <c r="E850" s="12">
        <v>2</v>
      </c>
      <c r="F850" s="12"/>
      <c r="G850" s="12">
        <v>10</v>
      </c>
      <c r="H850" s="12">
        <v>1</v>
      </c>
      <c r="I850" s="12" t="s">
        <v>486</v>
      </c>
      <c r="J850" s="12" t="s">
        <v>24</v>
      </c>
      <c r="K850" s="12" t="b">
        <v>1</v>
      </c>
      <c r="L850" s="12">
        <v>5</v>
      </c>
      <c r="M850" s="8">
        <v>2019</v>
      </c>
      <c r="N850" s="9">
        <v>9675664.1099999994</v>
      </c>
      <c r="O850" s="9">
        <v>10139497.07</v>
      </c>
      <c r="P850" s="9">
        <v>9244413.9900000002</v>
      </c>
      <c r="Q850" s="9">
        <v>8789986.4900000002</v>
      </c>
      <c r="R850" s="13">
        <v>41815</v>
      </c>
      <c r="S850" s="13">
        <v>41815</v>
      </c>
    </row>
    <row r="851" spans="1:19">
      <c r="A851" s="10">
        <v>2014</v>
      </c>
      <c r="B851" s="11" t="s">
        <v>483</v>
      </c>
      <c r="C851" s="11" t="s">
        <v>484</v>
      </c>
      <c r="D851" s="12">
        <v>1015042</v>
      </c>
      <c r="E851" s="12">
        <v>2</v>
      </c>
      <c r="F851" s="12"/>
      <c r="G851" s="12">
        <v>490</v>
      </c>
      <c r="H851" s="12">
        <v>9.3000000000000007</v>
      </c>
      <c r="I851" s="12"/>
      <c r="J851" s="12" t="s">
        <v>383</v>
      </c>
      <c r="K851" s="12" t="b">
        <v>1</v>
      </c>
      <c r="L851" s="12">
        <v>5</v>
      </c>
      <c r="M851" s="8">
        <v>2019</v>
      </c>
      <c r="N851" s="9">
        <v>0</v>
      </c>
      <c r="O851" s="9">
        <v>0</v>
      </c>
      <c r="P851" s="9">
        <v>0</v>
      </c>
      <c r="Q851" s="9">
        <v>0</v>
      </c>
      <c r="R851" s="13">
        <v>41815</v>
      </c>
      <c r="S851" s="13">
        <v>41815</v>
      </c>
    </row>
    <row r="852" spans="1:19">
      <c r="A852" s="10">
        <v>2014</v>
      </c>
      <c r="B852" s="11" t="s">
        <v>483</v>
      </c>
      <c r="C852" s="11" t="s">
        <v>484</v>
      </c>
      <c r="D852" s="12">
        <v>1015042</v>
      </c>
      <c r="E852" s="12">
        <v>2</v>
      </c>
      <c r="F852" s="12"/>
      <c r="G852" s="12">
        <v>490</v>
      </c>
      <c r="H852" s="12">
        <v>9.3000000000000007</v>
      </c>
      <c r="I852" s="12"/>
      <c r="J852" s="12" t="s">
        <v>383</v>
      </c>
      <c r="K852" s="12" t="b">
        <v>1</v>
      </c>
      <c r="L852" s="12">
        <v>1</v>
      </c>
      <c r="M852" s="8">
        <v>2015</v>
      </c>
      <c r="N852" s="9">
        <v>0</v>
      </c>
      <c r="O852" s="9">
        <v>0</v>
      </c>
      <c r="P852" s="9">
        <v>0</v>
      </c>
      <c r="Q852" s="9">
        <v>0</v>
      </c>
      <c r="R852" s="13">
        <v>41815</v>
      </c>
      <c r="S852" s="13">
        <v>41815</v>
      </c>
    </row>
    <row r="853" spans="1:19">
      <c r="A853" s="10">
        <v>2014</v>
      </c>
      <c r="B853" s="11" t="s">
        <v>483</v>
      </c>
      <c r="C853" s="11" t="s">
        <v>484</v>
      </c>
      <c r="D853" s="12">
        <v>1015042</v>
      </c>
      <c r="E853" s="12">
        <v>2</v>
      </c>
      <c r="F853" s="12"/>
      <c r="G853" s="12">
        <v>490</v>
      </c>
      <c r="H853" s="12">
        <v>9.3000000000000007</v>
      </c>
      <c r="I853" s="12"/>
      <c r="J853" s="12" t="s">
        <v>383</v>
      </c>
      <c r="K853" s="12" t="b">
        <v>1</v>
      </c>
      <c r="L853" s="12">
        <v>6</v>
      </c>
      <c r="M853" s="8">
        <v>2020</v>
      </c>
      <c r="N853" s="9">
        <v>0</v>
      </c>
      <c r="O853" s="9">
        <v>0</v>
      </c>
      <c r="P853" s="9">
        <v>0</v>
      </c>
      <c r="Q853" s="9">
        <v>0</v>
      </c>
      <c r="R853" s="13">
        <v>41815</v>
      </c>
      <c r="S853" s="13">
        <v>41815</v>
      </c>
    </row>
    <row r="854" spans="1:19">
      <c r="A854" s="10">
        <v>2014</v>
      </c>
      <c r="B854" s="11" t="s">
        <v>483</v>
      </c>
      <c r="C854" s="11" t="s">
        <v>484</v>
      </c>
      <c r="D854" s="12">
        <v>1015042</v>
      </c>
      <c r="E854" s="12">
        <v>2</v>
      </c>
      <c r="F854" s="12"/>
      <c r="G854" s="12">
        <v>490</v>
      </c>
      <c r="H854" s="12">
        <v>9.3000000000000007</v>
      </c>
      <c r="I854" s="12"/>
      <c r="J854" s="12" t="s">
        <v>383</v>
      </c>
      <c r="K854" s="12" t="b">
        <v>1</v>
      </c>
      <c r="L854" s="12">
        <v>2</v>
      </c>
      <c r="M854" s="8">
        <v>2016</v>
      </c>
      <c r="N854" s="9">
        <v>0</v>
      </c>
      <c r="O854" s="9">
        <v>0</v>
      </c>
      <c r="P854" s="9">
        <v>0</v>
      </c>
      <c r="Q854" s="9">
        <v>0</v>
      </c>
      <c r="R854" s="13">
        <v>41815</v>
      </c>
      <c r="S854" s="13">
        <v>41815</v>
      </c>
    </row>
    <row r="855" spans="1:19">
      <c r="A855" s="10">
        <v>2014</v>
      </c>
      <c r="B855" s="11" t="s">
        <v>483</v>
      </c>
      <c r="C855" s="11" t="s">
        <v>484</v>
      </c>
      <c r="D855" s="12">
        <v>1015042</v>
      </c>
      <c r="E855" s="12">
        <v>2</v>
      </c>
      <c r="F855" s="12"/>
      <c r="G855" s="12">
        <v>490</v>
      </c>
      <c r="H855" s="12">
        <v>9.3000000000000007</v>
      </c>
      <c r="I855" s="12"/>
      <c r="J855" s="12" t="s">
        <v>383</v>
      </c>
      <c r="K855" s="12" t="b">
        <v>1</v>
      </c>
      <c r="L855" s="12">
        <v>8</v>
      </c>
      <c r="M855" s="8">
        <v>2022</v>
      </c>
      <c r="N855" s="9">
        <v>0</v>
      </c>
      <c r="O855" s="9">
        <v>0</v>
      </c>
      <c r="P855" s="9">
        <v>0</v>
      </c>
      <c r="Q855" s="9">
        <v>0</v>
      </c>
      <c r="R855" s="13">
        <v>41815</v>
      </c>
      <c r="S855" s="13">
        <v>41815</v>
      </c>
    </row>
    <row r="856" spans="1:19">
      <c r="A856" s="10">
        <v>2014</v>
      </c>
      <c r="B856" s="11" t="s">
        <v>483</v>
      </c>
      <c r="C856" s="11" t="s">
        <v>484</v>
      </c>
      <c r="D856" s="12">
        <v>1015042</v>
      </c>
      <c r="E856" s="12">
        <v>2</v>
      </c>
      <c r="F856" s="12"/>
      <c r="G856" s="12">
        <v>490</v>
      </c>
      <c r="H856" s="12">
        <v>9.3000000000000007</v>
      </c>
      <c r="I856" s="12"/>
      <c r="J856" s="12" t="s">
        <v>383</v>
      </c>
      <c r="K856" s="12" t="b">
        <v>1</v>
      </c>
      <c r="L856" s="12">
        <v>3</v>
      </c>
      <c r="M856" s="8">
        <v>2017</v>
      </c>
      <c r="N856" s="9">
        <v>0</v>
      </c>
      <c r="O856" s="9">
        <v>0</v>
      </c>
      <c r="P856" s="9">
        <v>0</v>
      </c>
      <c r="Q856" s="9">
        <v>0</v>
      </c>
      <c r="R856" s="13">
        <v>41815</v>
      </c>
      <c r="S856" s="13">
        <v>41815</v>
      </c>
    </row>
    <row r="857" spans="1:19">
      <c r="A857" s="10">
        <v>2014</v>
      </c>
      <c r="B857" s="11" t="s">
        <v>483</v>
      </c>
      <c r="C857" s="11" t="s">
        <v>484</v>
      </c>
      <c r="D857" s="12">
        <v>1015042</v>
      </c>
      <c r="E857" s="12">
        <v>2</v>
      </c>
      <c r="F857" s="12"/>
      <c r="G857" s="12">
        <v>490</v>
      </c>
      <c r="H857" s="12">
        <v>9.3000000000000007</v>
      </c>
      <c r="I857" s="12"/>
      <c r="J857" s="12" t="s">
        <v>383</v>
      </c>
      <c r="K857" s="12" t="b">
        <v>1</v>
      </c>
      <c r="L857" s="12">
        <v>0</v>
      </c>
      <c r="M857" s="8">
        <v>2014</v>
      </c>
      <c r="N857" s="9">
        <v>0</v>
      </c>
      <c r="O857" s="9">
        <v>0</v>
      </c>
      <c r="P857" s="9">
        <v>0</v>
      </c>
      <c r="Q857" s="9">
        <v>0</v>
      </c>
      <c r="R857" s="13">
        <v>41815</v>
      </c>
      <c r="S857" s="13">
        <v>41815</v>
      </c>
    </row>
    <row r="858" spans="1:19">
      <c r="A858" s="10">
        <v>2014</v>
      </c>
      <c r="B858" s="11" t="s">
        <v>483</v>
      </c>
      <c r="C858" s="11" t="s">
        <v>484</v>
      </c>
      <c r="D858" s="12">
        <v>1015042</v>
      </c>
      <c r="E858" s="12">
        <v>2</v>
      </c>
      <c r="F858" s="12"/>
      <c r="G858" s="12">
        <v>490</v>
      </c>
      <c r="H858" s="12">
        <v>9.3000000000000007</v>
      </c>
      <c r="I858" s="12"/>
      <c r="J858" s="12" t="s">
        <v>383</v>
      </c>
      <c r="K858" s="12" t="b">
        <v>1</v>
      </c>
      <c r="L858" s="12">
        <v>4</v>
      </c>
      <c r="M858" s="8">
        <v>2018</v>
      </c>
      <c r="N858" s="9">
        <v>0</v>
      </c>
      <c r="O858" s="9">
        <v>0</v>
      </c>
      <c r="P858" s="9">
        <v>0</v>
      </c>
      <c r="Q858" s="9">
        <v>0</v>
      </c>
      <c r="R858" s="13">
        <v>41815</v>
      </c>
      <c r="S858" s="13">
        <v>41815</v>
      </c>
    </row>
    <row r="859" spans="1:19">
      <c r="A859" s="10">
        <v>2014</v>
      </c>
      <c r="B859" s="11" t="s">
        <v>483</v>
      </c>
      <c r="C859" s="11" t="s">
        <v>484</v>
      </c>
      <c r="D859" s="12">
        <v>1015042</v>
      </c>
      <c r="E859" s="12">
        <v>2</v>
      </c>
      <c r="F859" s="12"/>
      <c r="G859" s="12">
        <v>720</v>
      </c>
      <c r="H859" s="12" t="s">
        <v>106</v>
      </c>
      <c r="I859" s="12"/>
      <c r="J859" s="12" t="s">
        <v>107</v>
      </c>
      <c r="K859" s="12" t="b">
        <v>0</v>
      </c>
      <c r="L859" s="12">
        <v>8</v>
      </c>
      <c r="M859" s="8">
        <v>2022</v>
      </c>
      <c r="N859" s="9">
        <v>993396</v>
      </c>
      <c r="O859" s="9">
        <v>1696815.57</v>
      </c>
      <c r="P859" s="9">
        <v>779500</v>
      </c>
      <c r="Q859" s="9">
        <v>279500</v>
      </c>
      <c r="R859" s="13">
        <v>41815</v>
      </c>
      <c r="S859" s="13">
        <v>41815</v>
      </c>
    </row>
    <row r="860" spans="1:19">
      <c r="A860" s="10">
        <v>2014</v>
      </c>
      <c r="B860" s="11" t="s">
        <v>483</v>
      </c>
      <c r="C860" s="11" t="s">
        <v>484</v>
      </c>
      <c r="D860" s="12">
        <v>1015042</v>
      </c>
      <c r="E860" s="12">
        <v>2</v>
      </c>
      <c r="F860" s="12"/>
      <c r="G860" s="12">
        <v>720</v>
      </c>
      <c r="H860" s="12" t="s">
        <v>106</v>
      </c>
      <c r="I860" s="12"/>
      <c r="J860" s="12" t="s">
        <v>107</v>
      </c>
      <c r="K860" s="12" t="b">
        <v>0</v>
      </c>
      <c r="L860" s="12">
        <v>4</v>
      </c>
      <c r="M860" s="8">
        <v>2018</v>
      </c>
      <c r="N860" s="9">
        <v>993396</v>
      </c>
      <c r="O860" s="9">
        <v>1696815.57</v>
      </c>
      <c r="P860" s="9">
        <v>779500</v>
      </c>
      <c r="Q860" s="9">
        <v>279500</v>
      </c>
      <c r="R860" s="13">
        <v>41815</v>
      </c>
      <c r="S860" s="13">
        <v>41815</v>
      </c>
    </row>
    <row r="861" spans="1:19">
      <c r="A861" s="10">
        <v>2014</v>
      </c>
      <c r="B861" s="11" t="s">
        <v>483</v>
      </c>
      <c r="C861" s="11" t="s">
        <v>484</v>
      </c>
      <c r="D861" s="12">
        <v>1015042</v>
      </c>
      <c r="E861" s="12">
        <v>2</v>
      </c>
      <c r="F861" s="12"/>
      <c r="G861" s="12">
        <v>720</v>
      </c>
      <c r="H861" s="12" t="s">
        <v>106</v>
      </c>
      <c r="I861" s="12"/>
      <c r="J861" s="12" t="s">
        <v>107</v>
      </c>
      <c r="K861" s="12" t="b">
        <v>0</v>
      </c>
      <c r="L861" s="12">
        <v>0</v>
      </c>
      <c r="M861" s="8">
        <v>2014</v>
      </c>
      <c r="N861" s="9">
        <v>993396</v>
      </c>
      <c r="O861" s="9">
        <v>1696815.57</v>
      </c>
      <c r="P861" s="9">
        <v>779500</v>
      </c>
      <c r="Q861" s="9">
        <v>279500</v>
      </c>
      <c r="R861" s="13">
        <v>41815</v>
      </c>
      <c r="S861" s="13">
        <v>41815</v>
      </c>
    </row>
    <row r="862" spans="1:19">
      <c r="A862" s="10">
        <v>2014</v>
      </c>
      <c r="B862" s="11" t="s">
        <v>483</v>
      </c>
      <c r="C862" s="11" t="s">
        <v>484</v>
      </c>
      <c r="D862" s="12">
        <v>1015042</v>
      </c>
      <c r="E862" s="12">
        <v>2</v>
      </c>
      <c r="F862" s="12"/>
      <c r="G862" s="12">
        <v>720</v>
      </c>
      <c r="H862" s="12" t="s">
        <v>106</v>
      </c>
      <c r="I862" s="12"/>
      <c r="J862" s="12" t="s">
        <v>107</v>
      </c>
      <c r="K862" s="12" t="b">
        <v>0</v>
      </c>
      <c r="L862" s="12">
        <v>3</v>
      </c>
      <c r="M862" s="8">
        <v>2017</v>
      </c>
      <c r="N862" s="9">
        <v>993396</v>
      </c>
      <c r="O862" s="9">
        <v>1696815.57</v>
      </c>
      <c r="P862" s="9">
        <v>779500</v>
      </c>
      <c r="Q862" s="9">
        <v>279500</v>
      </c>
      <c r="R862" s="13">
        <v>41815</v>
      </c>
      <c r="S862" s="13">
        <v>41815</v>
      </c>
    </row>
    <row r="863" spans="1:19">
      <c r="A863" s="10">
        <v>2014</v>
      </c>
      <c r="B863" s="11" t="s">
        <v>483</v>
      </c>
      <c r="C863" s="11" t="s">
        <v>484</v>
      </c>
      <c r="D863" s="12">
        <v>1015042</v>
      </c>
      <c r="E863" s="12">
        <v>2</v>
      </c>
      <c r="F863" s="12"/>
      <c r="G863" s="12">
        <v>720</v>
      </c>
      <c r="H863" s="12" t="s">
        <v>106</v>
      </c>
      <c r="I863" s="12"/>
      <c r="J863" s="12" t="s">
        <v>107</v>
      </c>
      <c r="K863" s="12" t="b">
        <v>0</v>
      </c>
      <c r="L863" s="12">
        <v>5</v>
      </c>
      <c r="M863" s="8">
        <v>2019</v>
      </c>
      <c r="N863" s="9">
        <v>993396</v>
      </c>
      <c r="O863" s="9">
        <v>1696815.57</v>
      </c>
      <c r="P863" s="9">
        <v>779500</v>
      </c>
      <c r="Q863" s="9">
        <v>279500</v>
      </c>
      <c r="R863" s="13">
        <v>41815</v>
      </c>
      <c r="S863" s="13">
        <v>41815</v>
      </c>
    </row>
    <row r="864" spans="1:19">
      <c r="A864" s="10">
        <v>2014</v>
      </c>
      <c r="B864" s="11" t="s">
        <v>483</v>
      </c>
      <c r="C864" s="11" t="s">
        <v>484</v>
      </c>
      <c r="D864" s="12">
        <v>1015042</v>
      </c>
      <c r="E864" s="12">
        <v>2</v>
      </c>
      <c r="F864" s="12"/>
      <c r="G864" s="12">
        <v>720</v>
      </c>
      <c r="H864" s="12" t="s">
        <v>106</v>
      </c>
      <c r="I864" s="12"/>
      <c r="J864" s="12" t="s">
        <v>107</v>
      </c>
      <c r="K864" s="12" t="b">
        <v>0</v>
      </c>
      <c r="L864" s="12">
        <v>1</v>
      </c>
      <c r="M864" s="8">
        <v>2015</v>
      </c>
      <c r="N864" s="9">
        <v>993396</v>
      </c>
      <c r="O864" s="9">
        <v>1696815.57</v>
      </c>
      <c r="P864" s="9">
        <v>779500</v>
      </c>
      <c r="Q864" s="9">
        <v>279500</v>
      </c>
      <c r="R864" s="13">
        <v>41815</v>
      </c>
      <c r="S864" s="13">
        <v>41815</v>
      </c>
    </row>
    <row r="865" spans="1:19">
      <c r="A865" s="10">
        <v>2014</v>
      </c>
      <c r="B865" s="11" t="s">
        <v>483</v>
      </c>
      <c r="C865" s="11" t="s">
        <v>484</v>
      </c>
      <c r="D865" s="12">
        <v>1015042</v>
      </c>
      <c r="E865" s="12">
        <v>2</v>
      </c>
      <c r="F865" s="12"/>
      <c r="G865" s="12">
        <v>720</v>
      </c>
      <c r="H865" s="12" t="s">
        <v>106</v>
      </c>
      <c r="I865" s="12"/>
      <c r="J865" s="12" t="s">
        <v>107</v>
      </c>
      <c r="K865" s="12" t="b">
        <v>0</v>
      </c>
      <c r="L865" s="12">
        <v>2</v>
      </c>
      <c r="M865" s="8">
        <v>2016</v>
      </c>
      <c r="N865" s="9">
        <v>993396</v>
      </c>
      <c r="O865" s="9">
        <v>1696815.57</v>
      </c>
      <c r="P865" s="9">
        <v>779500</v>
      </c>
      <c r="Q865" s="9">
        <v>279500</v>
      </c>
      <c r="R865" s="13">
        <v>41815</v>
      </c>
      <c r="S865" s="13">
        <v>41815</v>
      </c>
    </row>
    <row r="866" spans="1:19">
      <c r="A866" s="10">
        <v>2014</v>
      </c>
      <c r="B866" s="11" t="s">
        <v>483</v>
      </c>
      <c r="C866" s="11" t="s">
        <v>484</v>
      </c>
      <c r="D866" s="12">
        <v>1015042</v>
      </c>
      <c r="E866" s="12">
        <v>2</v>
      </c>
      <c r="F866" s="12"/>
      <c r="G866" s="12">
        <v>720</v>
      </c>
      <c r="H866" s="12" t="s">
        <v>106</v>
      </c>
      <c r="I866" s="12"/>
      <c r="J866" s="12" t="s">
        <v>107</v>
      </c>
      <c r="K866" s="12" t="b">
        <v>0</v>
      </c>
      <c r="L866" s="12">
        <v>7</v>
      </c>
      <c r="M866" s="8">
        <v>2021</v>
      </c>
      <c r="N866" s="9">
        <v>993396</v>
      </c>
      <c r="O866" s="9">
        <v>1696815.57</v>
      </c>
      <c r="P866" s="9">
        <v>779500</v>
      </c>
      <c r="Q866" s="9">
        <v>279500</v>
      </c>
      <c r="R866" s="13">
        <v>41815</v>
      </c>
      <c r="S866" s="13">
        <v>41815</v>
      </c>
    </row>
    <row r="867" spans="1:19">
      <c r="A867" s="10">
        <v>2014</v>
      </c>
      <c r="B867" s="11" t="s">
        <v>483</v>
      </c>
      <c r="C867" s="11" t="s">
        <v>484</v>
      </c>
      <c r="D867" s="12">
        <v>1015042</v>
      </c>
      <c r="E867" s="12">
        <v>2</v>
      </c>
      <c r="F867" s="12"/>
      <c r="G867" s="12">
        <v>720</v>
      </c>
      <c r="H867" s="12" t="s">
        <v>106</v>
      </c>
      <c r="I867" s="12"/>
      <c r="J867" s="12" t="s">
        <v>107</v>
      </c>
      <c r="K867" s="12" t="b">
        <v>0</v>
      </c>
      <c r="L867" s="12">
        <v>6</v>
      </c>
      <c r="M867" s="8">
        <v>2020</v>
      </c>
      <c r="N867" s="9">
        <v>993396</v>
      </c>
      <c r="O867" s="9">
        <v>1696815.57</v>
      </c>
      <c r="P867" s="9">
        <v>779500</v>
      </c>
      <c r="Q867" s="9">
        <v>279500</v>
      </c>
      <c r="R867" s="13">
        <v>41815</v>
      </c>
      <c r="S867" s="13">
        <v>41815</v>
      </c>
    </row>
    <row r="868" spans="1:19">
      <c r="A868" s="10">
        <v>2014</v>
      </c>
      <c r="B868" s="11" t="s">
        <v>483</v>
      </c>
      <c r="C868" s="11" t="s">
        <v>484</v>
      </c>
      <c r="D868" s="12">
        <v>1015042</v>
      </c>
      <c r="E868" s="12">
        <v>2</v>
      </c>
      <c r="F868" s="12"/>
      <c r="G868" s="12">
        <v>334</v>
      </c>
      <c r="H868" s="12" t="s">
        <v>372</v>
      </c>
      <c r="I868" s="12"/>
      <c r="J868" s="12" t="s">
        <v>373</v>
      </c>
      <c r="K868" s="12" t="b">
        <v>1</v>
      </c>
      <c r="L868" s="12">
        <v>8</v>
      </c>
      <c r="M868" s="8">
        <v>2022</v>
      </c>
      <c r="N868" s="9">
        <v>0</v>
      </c>
      <c r="O868" s="9">
        <v>0</v>
      </c>
      <c r="P868" s="9">
        <v>0</v>
      </c>
      <c r="Q868" s="9">
        <v>0</v>
      </c>
      <c r="R868" s="13">
        <v>41815</v>
      </c>
      <c r="S868" s="13">
        <v>41815</v>
      </c>
    </row>
    <row r="869" spans="1:19">
      <c r="A869" s="10">
        <v>2014</v>
      </c>
      <c r="B869" s="11" t="s">
        <v>483</v>
      </c>
      <c r="C869" s="11" t="s">
        <v>484</v>
      </c>
      <c r="D869" s="12">
        <v>1015042</v>
      </c>
      <c r="E869" s="12">
        <v>2</v>
      </c>
      <c r="F869" s="12"/>
      <c r="G869" s="12">
        <v>334</v>
      </c>
      <c r="H869" s="12" t="s">
        <v>372</v>
      </c>
      <c r="I869" s="12"/>
      <c r="J869" s="12" t="s">
        <v>373</v>
      </c>
      <c r="K869" s="12" t="b">
        <v>1</v>
      </c>
      <c r="L869" s="12">
        <v>2</v>
      </c>
      <c r="M869" s="8">
        <v>2016</v>
      </c>
      <c r="N869" s="9">
        <v>0</v>
      </c>
      <c r="O869" s="9">
        <v>0</v>
      </c>
      <c r="P869" s="9">
        <v>0</v>
      </c>
      <c r="Q869" s="9">
        <v>0</v>
      </c>
      <c r="R869" s="13">
        <v>41815</v>
      </c>
      <c r="S869" s="13">
        <v>41815</v>
      </c>
    </row>
    <row r="870" spans="1:19">
      <c r="A870" s="10">
        <v>2014</v>
      </c>
      <c r="B870" s="11" t="s">
        <v>483</v>
      </c>
      <c r="C870" s="11" t="s">
        <v>484</v>
      </c>
      <c r="D870" s="12">
        <v>1015042</v>
      </c>
      <c r="E870" s="12">
        <v>2</v>
      </c>
      <c r="F870" s="12"/>
      <c r="G870" s="12">
        <v>334</v>
      </c>
      <c r="H870" s="12" t="s">
        <v>372</v>
      </c>
      <c r="I870" s="12"/>
      <c r="J870" s="12" t="s">
        <v>373</v>
      </c>
      <c r="K870" s="12" t="b">
        <v>1</v>
      </c>
      <c r="L870" s="12">
        <v>3</v>
      </c>
      <c r="M870" s="8">
        <v>2017</v>
      </c>
      <c r="N870" s="9">
        <v>0</v>
      </c>
      <c r="O870" s="9">
        <v>0</v>
      </c>
      <c r="P870" s="9">
        <v>0</v>
      </c>
      <c r="Q870" s="9">
        <v>0</v>
      </c>
      <c r="R870" s="13">
        <v>41815</v>
      </c>
      <c r="S870" s="13">
        <v>41815</v>
      </c>
    </row>
    <row r="871" spans="1:19">
      <c r="A871" s="10">
        <v>2014</v>
      </c>
      <c r="B871" s="11" t="s">
        <v>483</v>
      </c>
      <c r="C871" s="11" t="s">
        <v>484</v>
      </c>
      <c r="D871" s="12">
        <v>1015042</v>
      </c>
      <c r="E871" s="12">
        <v>2</v>
      </c>
      <c r="F871" s="12"/>
      <c r="G871" s="12">
        <v>334</v>
      </c>
      <c r="H871" s="12" t="s">
        <v>372</v>
      </c>
      <c r="I871" s="12"/>
      <c r="J871" s="12" t="s">
        <v>373</v>
      </c>
      <c r="K871" s="12" t="b">
        <v>1</v>
      </c>
      <c r="L871" s="12">
        <v>1</v>
      </c>
      <c r="M871" s="8">
        <v>2015</v>
      </c>
      <c r="N871" s="9">
        <v>0</v>
      </c>
      <c r="O871" s="9">
        <v>0</v>
      </c>
      <c r="P871" s="9">
        <v>0</v>
      </c>
      <c r="Q871" s="9">
        <v>0</v>
      </c>
      <c r="R871" s="13">
        <v>41815</v>
      </c>
      <c r="S871" s="13">
        <v>41815</v>
      </c>
    </row>
    <row r="872" spans="1:19">
      <c r="A872" s="10">
        <v>2014</v>
      </c>
      <c r="B872" s="11" t="s">
        <v>483</v>
      </c>
      <c r="C872" s="11" t="s">
        <v>484</v>
      </c>
      <c r="D872" s="12">
        <v>1015042</v>
      </c>
      <c r="E872" s="12">
        <v>2</v>
      </c>
      <c r="F872" s="12"/>
      <c r="G872" s="12">
        <v>334</v>
      </c>
      <c r="H872" s="12" t="s">
        <v>372</v>
      </c>
      <c r="I872" s="12"/>
      <c r="J872" s="12" t="s">
        <v>373</v>
      </c>
      <c r="K872" s="12" t="b">
        <v>1</v>
      </c>
      <c r="L872" s="12">
        <v>6</v>
      </c>
      <c r="M872" s="8">
        <v>2020</v>
      </c>
      <c r="N872" s="9">
        <v>0</v>
      </c>
      <c r="O872" s="9">
        <v>0</v>
      </c>
      <c r="P872" s="9">
        <v>0</v>
      </c>
      <c r="Q872" s="9">
        <v>0</v>
      </c>
      <c r="R872" s="13">
        <v>41815</v>
      </c>
      <c r="S872" s="13">
        <v>41815</v>
      </c>
    </row>
    <row r="873" spans="1:19">
      <c r="A873" s="10">
        <v>2014</v>
      </c>
      <c r="B873" s="11" t="s">
        <v>483</v>
      </c>
      <c r="C873" s="11" t="s">
        <v>484</v>
      </c>
      <c r="D873" s="12">
        <v>1015042</v>
      </c>
      <c r="E873" s="12">
        <v>2</v>
      </c>
      <c r="F873" s="12"/>
      <c r="G873" s="12">
        <v>334</v>
      </c>
      <c r="H873" s="12" t="s">
        <v>372</v>
      </c>
      <c r="I873" s="12"/>
      <c r="J873" s="12" t="s">
        <v>373</v>
      </c>
      <c r="K873" s="12" t="b">
        <v>1</v>
      </c>
      <c r="L873" s="12">
        <v>0</v>
      </c>
      <c r="M873" s="8">
        <v>2014</v>
      </c>
      <c r="N873" s="9">
        <v>0</v>
      </c>
      <c r="O873" s="9">
        <v>0</v>
      </c>
      <c r="P873" s="9">
        <v>0</v>
      </c>
      <c r="Q873" s="9">
        <v>0</v>
      </c>
      <c r="R873" s="13">
        <v>41815</v>
      </c>
      <c r="S873" s="13">
        <v>41815</v>
      </c>
    </row>
    <row r="874" spans="1:19">
      <c r="A874" s="10">
        <v>2014</v>
      </c>
      <c r="B874" s="11" t="s">
        <v>483</v>
      </c>
      <c r="C874" s="11" t="s">
        <v>484</v>
      </c>
      <c r="D874" s="12">
        <v>1015042</v>
      </c>
      <c r="E874" s="12">
        <v>2</v>
      </c>
      <c r="F874" s="12"/>
      <c r="G874" s="12">
        <v>334</v>
      </c>
      <c r="H874" s="12" t="s">
        <v>372</v>
      </c>
      <c r="I874" s="12"/>
      <c r="J874" s="12" t="s">
        <v>373</v>
      </c>
      <c r="K874" s="12" t="b">
        <v>1</v>
      </c>
      <c r="L874" s="12">
        <v>5</v>
      </c>
      <c r="M874" s="8">
        <v>2019</v>
      </c>
      <c r="N874" s="9">
        <v>0</v>
      </c>
      <c r="O874" s="9">
        <v>0</v>
      </c>
      <c r="P874" s="9">
        <v>0</v>
      </c>
      <c r="Q874" s="9">
        <v>0</v>
      </c>
      <c r="R874" s="13">
        <v>41815</v>
      </c>
      <c r="S874" s="13">
        <v>41815</v>
      </c>
    </row>
    <row r="875" spans="1:19">
      <c r="A875" s="10">
        <v>2014</v>
      </c>
      <c r="B875" s="11" t="s">
        <v>483</v>
      </c>
      <c r="C875" s="11" t="s">
        <v>484</v>
      </c>
      <c r="D875" s="12">
        <v>1015042</v>
      </c>
      <c r="E875" s="12">
        <v>2</v>
      </c>
      <c r="F875" s="12"/>
      <c r="G875" s="12">
        <v>334</v>
      </c>
      <c r="H875" s="12" t="s">
        <v>372</v>
      </c>
      <c r="I875" s="12"/>
      <c r="J875" s="12" t="s">
        <v>373</v>
      </c>
      <c r="K875" s="12" t="b">
        <v>1</v>
      </c>
      <c r="L875" s="12">
        <v>4</v>
      </c>
      <c r="M875" s="8">
        <v>2018</v>
      </c>
      <c r="N875" s="9">
        <v>0</v>
      </c>
      <c r="O875" s="9">
        <v>0</v>
      </c>
      <c r="P875" s="9">
        <v>0</v>
      </c>
      <c r="Q875" s="9">
        <v>0</v>
      </c>
      <c r="R875" s="13">
        <v>41815</v>
      </c>
      <c r="S875" s="13">
        <v>41815</v>
      </c>
    </row>
    <row r="876" spans="1:19">
      <c r="A876" s="10">
        <v>2014</v>
      </c>
      <c r="B876" s="11" t="s">
        <v>483</v>
      </c>
      <c r="C876" s="11" t="s">
        <v>484</v>
      </c>
      <c r="D876" s="12">
        <v>1015042</v>
      </c>
      <c r="E876" s="12">
        <v>2</v>
      </c>
      <c r="F876" s="12"/>
      <c r="G876" s="12">
        <v>334</v>
      </c>
      <c r="H876" s="12" t="s">
        <v>372</v>
      </c>
      <c r="I876" s="12"/>
      <c r="J876" s="12" t="s">
        <v>373</v>
      </c>
      <c r="K876" s="12" t="b">
        <v>1</v>
      </c>
      <c r="L876" s="12">
        <v>7</v>
      </c>
      <c r="M876" s="8">
        <v>2021</v>
      </c>
      <c r="N876" s="9">
        <v>0</v>
      </c>
      <c r="O876" s="9">
        <v>0</v>
      </c>
      <c r="P876" s="9">
        <v>0</v>
      </c>
      <c r="Q876" s="9">
        <v>0</v>
      </c>
      <c r="R876" s="13">
        <v>41815</v>
      </c>
      <c r="S876" s="13">
        <v>41815</v>
      </c>
    </row>
    <row r="877" spans="1:19">
      <c r="A877" s="10">
        <v>2014</v>
      </c>
      <c r="B877" s="11" t="s">
        <v>483</v>
      </c>
      <c r="C877" s="11" t="s">
        <v>484</v>
      </c>
      <c r="D877" s="12">
        <v>1015042</v>
      </c>
      <c r="E877" s="12">
        <v>2</v>
      </c>
      <c r="F877" s="12"/>
      <c r="G877" s="12">
        <v>640</v>
      </c>
      <c r="H877" s="12">
        <v>11.5</v>
      </c>
      <c r="I877" s="12"/>
      <c r="J877" s="12" t="s">
        <v>95</v>
      </c>
      <c r="K877" s="12" t="b">
        <v>1</v>
      </c>
      <c r="L877" s="12">
        <v>7</v>
      </c>
      <c r="M877" s="8">
        <v>2021</v>
      </c>
      <c r="N877" s="9">
        <v>1914985.86</v>
      </c>
      <c r="O877" s="9">
        <v>1186433.3700000001</v>
      </c>
      <c r="P877" s="9">
        <v>912225</v>
      </c>
      <c r="Q877" s="9">
        <v>500972.43</v>
      </c>
      <c r="R877" s="13">
        <v>41815</v>
      </c>
      <c r="S877" s="13">
        <v>41815</v>
      </c>
    </row>
    <row r="878" spans="1:19">
      <c r="A878" s="10">
        <v>2014</v>
      </c>
      <c r="B878" s="11" t="s">
        <v>483</v>
      </c>
      <c r="C878" s="11" t="s">
        <v>484</v>
      </c>
      <c r="D878" s="12">
        <v>1015042</v>
      </c>
      <c r="E878" s="12">
        <v>2</v>
      </c>
      <c r="F878" s="12"/>
      <c r="G878" s="12">
        <v>640</v>
      </c>
      <c r="H878" s="12">
        <v>11.5</v>
      </c>
      <c r="I878" s="12"/>
      <c r="J878" s="12" t="s">
        <v>95</v>
      </c>
      <c r="K878" s="12" t="b">
        <v>1</v>
      </c>
      <c r="L878" s="12">
        <v>5</v>
      </c>
      <c r="M878" s="8">
        <v>2019</v>
      </c>
      <c r="N878" s="9">
        <v>1914985.86</v>
      </c>
      <c r="O878" s="9">
        <v>1186433.3700000001</v>
      </c>
      <c r="P878" s="9">
        <v>912225</v>
      </c>
      <c r="Q878" s="9">
        <v>500972.43</v>
      </c>
      <c r="R878" s="13">
        <v>41815</v>
      </c>
      <c r="S878" s="13">
        <v>41815</v>
      </c>
    </row>
    <row r="879" spans="1:19">
      <c r="A879" s="10">
        <v>2014</v>
      </c>
      <c r="B879" s="11" t="s">
        <v>483</v>
      </c>
      <c r="C879" s="11" t="s">
        <v>484</v>
      </c>
      <c r="D879" s="12">
        <v>1015042</v>
      </c>
      <c r="E879" s="12">
        <v>2</v>
      </c>
      <c r="F879" s="12"/>
      <c r="G879" s="12">
        <v>640</v>
      </c>
      <c r="H879" s="12">
        <v>11.5</v>
      </c>
      <c r="I879" s="12"/>
      <c r="J879" s="12" t="s">
        <v>95</v>
      </c>
      <c r="K879" s="12" t="b">
        <v>1</v>
      </c>
      <c r="L879" s="12">
        <v>2</v>
      </c>
      <c r="M879" s="8">
        <v>2016</v>
      </c>
      <c r="N879" s="9">
        <v>1914985.86</v>
      </c>
      <c r="O879" s="9">
        <v>1186433.3700000001</v>
      </c>
      <c r="P879" s="9">
        <v>912225</v>
      </c>
      <c r="Q879" s="9">
        <v>500972.43</v>
      </c>
      <c r="R879" s="13">
        <v>41815</v>
      </c>
      <c r="S879" s="13">
        <v>41815</v>
      </c>
    </row>
    <row r="880" spans="1:19">
      <c r="A880" s="10">
        <v>2014</v>
      </c>
      <c r="B880" s="11" t="s">
        <v>483</v>
      </c>
      <c r="C880" s="11" t="s">
        <v>484</v>
      </c>
      <c r="D880" s="12">
        <v>1015042</v>
      </c>
      <c r="E880" s="12">
        <v>2</v>
      </c>
      <c r="F880" s="12"/>
      <c r="G880" s="12">
        <v>640</v>
      </c>
      <c r="H880" s="12">
        <v>11.5</v>
      </c>
      <c r="I880" s="12"/>
      <c r="J880" s="12" t="s">
        <v>95</v>
      </c>
      <c r="K880" s="12" t="b">
        <v>1</v>
      </c>
      <c r="L880" s="12">
        <v>1</v>
      </c>
      <c r="M880" s="8">
        <v>2015</v>
      </c>
      <c r="N880" s="9">
        <v>1914985.86</v>
      </c>
      <c r="O880" s="9">
        <v>1186433.3700000001</v>
      </c>
      <c r="P880" s="9">
        <v>912225</v>
      </c>
      <c r="Q880" s="9">
        <v>500972.43</v>
      </c>
      <c r="R880" s="13">
        <v>41815</v>
      </c>
      <c r="S880" s="13">
        <v>41815</v>
      </c>
    </row>
    <row r="881" spans="1:19">
      <c r="A881" s="10">
        <v>2014</v>
      </c>
      <c r="B881" s="11" t="s">
        <v>483</v>
      </c>
      <c r="C881" s="11" t="s">
        <v>484</v>
      </c>
      <c r="D881" s="12">
        <v>1015042</v>
      </c>
      <c r="E881" s="12">
        <v>2</v>
      </c>
      <c r="F881" s="12"/>
      <c r="G881" s="12">
        <v>640</v>
      </c>
      <c r="H881" s="12">
        <v>11.5</v>
      </c>
      <c r="I881" s="12"/>
      <c r="J881" s="12" t="s">
        <v>95</v>
      </c>
      <c r="K881" s="12" t="b">
        <v>1</v>
      </c>
      <c r="L881" s="12">
        <v>3</v>
      </c>
      <c r="M881" s="8">
        <v>2017</v>
      </c>
      <c r="N881" s="9">
        <v>1914985.86</v>
      </c>
      <c r="O881" s="9">
        <v>1186433.3700000001</v>
      </c>
      <c r="P881" s="9">
        <v>912225</v>
      </c>
      <c r="Q881" s="9">
        <v>500972.43</v>
      </c>
      <c r="R881" s="13">
        <v>41815</v>
      </c>
      <c r="S881" s="13">
        <v>41815</v>
      </c>
    </row>
    <row r="882" spans="1:19">
      <c r="A882" s="10">
        <v>2014</v>
      </c>
      <c r="B882" s="11" t="s">
        <v>483</v>
      </c>
      <c r="C882" s="11" t="s">
        <v>484</v>
      </c>
      <c r="D882" s="12">
        <v>1015042</v>
      </c>
      <c r="E882" s="12">
        <v>2</v>
      </c>
      <c r="F882" s="12"/>
      <c r="G882" s="12">
        <v>640</v>
      </c>
      <c r="H882" s="12">
        <v>11.5</v>
      </c>
      <c r="I882" s="12"/>
      <c r="J882" s="12" t="s">
        <v>95</v>
      </c>
      <c r="K882" s="12" t="b">
        <v>1</v>
      </c>
      <c r="L882" s="12">
        <v>8</v>
      </c>
      <c r="M882" s="8">
        <v>2022</v>
      </c>
      <c r="N882" s="9">
        <v>1914985.86</v>
      </c>
      <c r="O882" s="9">
        <v>1186433.3700000001</v>
      </c>
      <c r="P882" s="9">
        <v>912225</v>
      </c>
      <c r="Q882" s="9">
        <v>500972.43</v>
      </c>
      <c r="R882" s="13">
        <v>41815</v>
      </c>
      <c r="S882" s="13">
        <v>41815</v>
      </c>
    </row>
    <row r="883" spans="1:19">
      <c r="A883" s="10">
        <v>2014</v>
      </c>
      <c r="B883" s="11" t="s">
        <v>483</v>
      </c>
      <c r="C883" s="11" t="s">
        <v>484</v>
      </c>
      <c r="D883" s="12">
        <v>1015042</v>
      </c>
      <c r="E883" s="12">
        <v>2</v>
      </c>
      <c r="F883" s="12"/>
      <c r="G883" s="12">
        <v>640</v>
      </c>
      <c r="H883" s="12">
        <v>11.5</v>
      </c>
      <c r="I883" s="12"/>
      <c r="J883" s="12" t="s">
        <v>95</v>
      </c>
      <c r="K883" s="12" t="b">
        <v>1</v>
      </c>
      <c r="L883" s="12">
        <v>6</v>
      </c>
      <c r="M883" s="8">
        <v>2020</v>
      </c>
      <c r="N883" s="9">
        <v>1914985.86</v>
      </c>
      <c r="O883" s="9">
        <v>1186433.3700000001</v>
      </c>
      <c r="P883" s="9">
        <v>912225</v>
      </c>
      <c r="Q883" s="9">
        <v>500972.43</v>
      </c>
      <c r="R883" s="13">
        <v>41815</v>
      </c>
      <c r="S883" s="13">
        <v>41815</v>
      </c>
    </row>
    <row r="884" spans="1:19">
      <c r="A884" s="10">
        <v>2014</v>
      </c>
      <c r="B884" s="11" t="s">
        <v>483</v>
      </c>
      <c r="C884" s="11" t="s">
        <v>484</v>
      </c>
      <c r="D884" s="12">
        <v>1015042</v>
      </c>
      <c r="E884" s="12">
        <v>2</v>
      </c>
      <c r="F884" s="12"/>
      <c r="G884" s="12">
        <v>640</v>
      </c>
      <c r="H884" s="12">
        <v>11.5</v>
      </c>
      <c r="I884" s="12"/>
      <c r="J884" s="12" t="s">
        <v>95</v>
      </c>
      <c r="K884" s="12" t="b">
        <v>1</v>
      </c>
      <c r="L884" s="12">
        <v>4</v>
      </c>
      <c r="M884" s="8">
        <v>2018</v>
      </c>
      <c r="N884" s="9">
        <v>1914985.86</v>
      </c>
      <c r="O884" s="9">
        <v>1186433.3700000001</v>
      </c>
      <c r="P884" s="9">
        <v>912225</v>
      </c>
      <c r="Q884" s="9">
        <v>500972.43</v>
      </c>
      <c r="R884" s="13">
        <v>41815</v>
      </c>
      <c r="S884" s="13">
        <v>41815</v>
      </c>
    </row>
    <row r="885" spans="1:19">
      <c r="A885" s="10">
        <v>2014</v>
      </c>
      <c r="B885" s="11" t="s">
        <v>483</v>
      </c>
      <c r="C885" s="11" t="s">
        <v>484</v>
      </c>
      <c r="D885" s="12">
        <v>1015042</v>
      </c>
      <c r="E885" s="12">
        <v>2</v>
      </c>
      <c r="F885" s="12"/>
      <c r="G885" s="12">
        <v>640</v>
      </c>
      <c r="H885" s="12">
        <v>11.5</v>
      </c>
      <c r="I885" s="12"/>
      <c r="J885" s="12" t="s">
        <v>95</v>
      </c>
      <c r="K885" s="12" t="b">
        <v>1</v>
      </c>
      <c r="L885" s="12">
        <v>0</v>
      </c>
      <c r="M885" s="8">
        <v>2014</v>
      </c>
      <c r="N885" s="9">
        <v>1914985.86</v>
      </c>
      <c r="O885" s="9">
        <v>1186433.3700000001</v>
      </c>
      <c r="P885" s="9">
        <v>912225</v>
      </c>
      <c r="Q885" s="9">
        <v>500972.43</v>
      </c>
      <c r="R885" s="13">
        <v>41815</v>
      </c>
      <c r="S885" s="13">
        <v>41815</v>
      </c>
    </row>
    <row r="886" spans="1:19">
      <c r="A886" s="10">
        <v>2014</v>
      </c>
      <c r="B886" s="11" t="s">
        <v>483</v>
      </c>
      <c r="C886" s="11" t="s">
        <v>484</v>
      </c>
      <c r="D886" s="12">
        <v>1015042</v>
      </c>
      <c r="E886" s="12">
        <v>2</v>
      </c>
      <c r="F886" s="12"/>
      <c r="G886" s="12">
        <v>440</v>
      </c>
      <c r="H886" s="12">
        <v>9</v>
      </c>
      <c r="I886" s="12"/>
      <c r="J886" s="12" t="s">
        <v>149</v>
      </c>
      <c r="K886" s="12" t="b">
        <v>0</v>
      </c>
      <c r="L886" s="12">
        <v>1</v>
      </c>
      <c r="M886" s="8">
        <v>2015</v>
      </c>
      <c r="N886" s="9">
        <v>0</v>
      </c>
      <c r="O886" s="9">
        <v>0</v>
      </c>
      <c r="P886" s="9">
        <v>0</v>
      </c>
      <c r="Q886" s="9">
        <v>0</v>
      </c>
      <c r="R886" s="13">
        <v>41815</v>
      </c>
      <c r="S886" s="13">
        <v>41815</v>
      </c>
    </row>
    <row r="887" spans="1:19">
      <c r="A887" s="10">
        <v>2014</v>
      </c>
      <c r="B887" s="11" t="s">
        <v>483</v>
      </c>
      <c r="C887" s="11" t="s">
        <v>484</v>
      </c>
      <c r="D887" s="12">
        <v>1015042</v>
      </c>
      <c r="E887" s="12">
        <v>2</v>
      </c>
      <c r="F887" s="12"/>
      <c r="G887" s="12">
        <v>440</v>
      </c>
      <c r="H887" s="12">
        <v>9</v>
      </c>
      <c r="I887" s="12"/>
      <c r="J887" s="12" t="s">
        <v>149</v>
      </c>
      <c r="K887" s="12" t="b">
        <v>0</v>
      </c>
      <c r="L887" s="12">
        <v>6</v>
      </c>
      <c r="M887" s="8">
        <v>2020</v>
      </c>
      <c r="N887" s="9">
        <v>0</v>
      </c>
      <c r="O887" s="9">
        <v>0</v>
      </c>
      <c r="P887" s="9">
        <v>0</v>
      </c>
      <c r="Q887" s="9">
        <v>0</v>
      </c>
      <c r="R887" s="13">
        <v>41815</v>
      </c>
      <c r="S887" s="13">
        <v>41815</v>
      </c>
    </row>
    <row r="888" spans="1:19">
      <c r="A888" s="10">
        <v>2014</v>
      </c>
      <c r="B888" s="11" t="s">
        <v>483</v>
      </c>
      <c r="C888" s="11" t="s">
        <v>484</v>
      </c>
      <c r="D888" s="12">
        <v>1015042</v>
      </c>
      <c r="E888" s="12">
        <v>2</v>
      </c>
      <c r="F888" s="12"/>
      <c r="G888" s="12">
        <v>440</v>
      </c>
      <c r="H888" s="12">
        <v>9</v>
      </c>
      <c r="I888" s="12"/>
      <c r="J888" s="12" t="s">
        <v>149</v>
      </c>
      <c r="K888" s="12" t="b">
        <v>0</v>
      </c>
      <c r="L888" s="12">
        <v>7</v>
      </c>
      <c r="M888" s="8">
        <v>2021</v>
      </c>
      <c r="N888" s="9">
        <v>0</v>
      </c>
      <c r="O888" s="9">
        <v>0</v>
      </c>
      <c r="P888" s="9">
        <v>0</v>
      </c>
      <c r="Q888" s="9">
        <v>0</v>
      </c>
      <c r="R888" s="13">
        <v>41815</v>
      </c>
      <c r="S888" s="13">
        <v>41815</v>
      </c>
    </row>
    <row r="889" spans="1:19">
      <c r="A889" s="10">
        <v>2014</v>
      </c>
      <c r="B889" s="11" t="s">
        <v>483</v>
      </c>
      <c r="C889" s="11" t="s">
        <v>484</v>
      </c>
      <c r="D889" s="12">
        <v>1015042</v>
      </c>
      <c r="E889" s="12">
        <v>2</v>
      </c>
      <c r="F889" s="12"/>
      <c r="G889" s="12">
        <v>440</v>
      </c>
      <c r="H889" s="12">
        <v>9</v>
      </c>
      <c r="I889" s="12"/>
      <c r="J889" s="12" t="s">
        <v>149</v>
      </c>
      <c r="K889" s="12" t="b">
        <v>0</v>
      </c>
      <c r="L889" s="12">
        <v>3</v>
      </c>
      <c r="M889" s="8">
        <v>2017</v>
      </c>
      <c r="N889" s="9">
        <v>0</v>
      </c>
      <c r="O889" s="9">
        <v>0</v>
      </c>
      <c r="P889" s="9">
        <v>0</v>
      </c>
      <c r="Q889" s="9">
        <v>0</v>
      </c>
      <c r="R889" s="13">
        <v>41815</v>
      </c>
      <c r="S889" s="13">
        <v>41815</v>
      </c>
    </row>
    <row r="890" spans="1:19">
      <c r="A890" s="10">
        <v>2014</v>
      </c>
      <c r="B890" s="11" t="s">
        <v>483</v>
      </c>
      <c r="C890" s="11" t="s">
        <v>484</v>
      </c>
      <c r="D890" s="12">
        <v>1015042</v>
      </c>
      <c r="E890" s="12">
        <v>2</v>
      </c>
      <c r="F890" s="12"/>
      <c r="G890" s="12">
        <v>440</v>
      </c>
      <c r="H890" s="12">
        <v>9</v>
      </c>
      <c r="I890" s="12"/>
      <c r="J890" s="12" t="s">
        <v>149</v>
      </c>
      <c r="K890" s="12" t="b">
        <v>0</v>
      </c>
      <c r="L890" s="12">
        <v>5</v>
      </c>
      <c r="M890" s="8">
        <v>2019</v>
      </c>
      <c r="N890" s="9">
        <v>0</v>
      </c>
      <c r="O890" s="9">
        <v>0</v>
      </c>
      <c r="P890" s="9">
        <v>0</v>
      </c>
      <c r="Q890" s="9">
        <v>0</v>
      </c>
      <c r="R890" s="13">
        <v>41815</v>
      </c>
      <c r="S890" s="13">
        <v>41815</v>
      </c>
    </row>
    <row r="891" spans="1:19">
      <c r="A891" s="10">
        <v>2014</v>
      </c>
      <c r="B891" s="11" t="s">
        <v>483</v>
      </c>
      <c r="C891" s="11" t="s">
        <v>484</v>
      </c>
      <c r="D891" s="12">
        <v>1015042</v>
      </c>
      <c r="E891" s="12">
        <v>2</v>
      </c>
      <c r="F891" s="12"/>
      <c r="G891" s="12">
        <v>440</v>
      </c>
      <c r="H891" s="12">
        <v>9</v>
      </c>
      <c r="I891" s="12"/>
      <c r="J891" s="12" t="s">
        <v>149</v>
      </c>
      <c r="K891" s="12" t="b">
        <v>0</v>
      </c>
      <c r="L891" s="12">
        <v>4</v>
      </c>
      <c r="M891" s="8">
        <v>2018</v>
      </c>
      <c r="N891" s="9">
        <v>0</v>
      </c>
      <c r="O891" s="9">
        <v>0</v>
      </c>
      <c r="P891" s="9">
        <v>0</v>
      </c>
      <c r="Q891" s="9">
        <v>0</v>
      </c>
      <c r="R891" s="13">
        <v>41815</v>
      </c>
      <c r="S891" s="13">
        <v>41815</v>
      </c>
    </row>
    <row r="892" spans="1:19">
      <c r="A892" s="10">
        <v>2014</v>
      </c>
      <c r="B892" s="11" t="s">
        <v>483</v>
      </c>
      <c r="C892" s="11" t="s">
        <v>484</v>
      </c>
      <c r="D892" s="12">
        <v>1015042</v>
      </c>
      <c r="E892" s="12">
        <v>2</v>
      </c>
      <c r="F892" s="12"/>
      <c r="G892" s="12">
        <v>440</v>
      </c>
      <c r="H892" s="12">
        <v>9</v>
      </c>
      <c r="I892" s="12"/>
      <c r="J892" s="12" t="s">
        <v>149</v>
      </c>
      <c r="K892" s="12" t="b">
        <v>0</v>
      </c>
      <c r="L892" s="12">
        <v>0</v>
      </c>
      <c r="M892" s="8">
        <v>2014</v>
      </c>
      <c r="N892" s="9">
        <v>0</v>
      </c>
      <c r="O892" s="9">
        <v>0</v>
      </c>
      <c r="P892" s="9">
        <v>0</v>
      </c>
      <c r="Q892" s="9">
        <v>0</v>
      </c>
      <c r="R892" s="13">
        <v>41815</v>
      </c>
      <c r="S892" s="13">
        <v>41815</v>
      </c>
    </row>
    <row r="893" spans="1:19">
      <c r="A893" s="10">
        <v>2014</v>
      </c>
      <c r="B893" s="11" t="s">
        <v>483</v>
      </c>
      <c r="C893" s="11" t="s">
        <v>484</v>
      </c>
      <c r="D893" s="12">
        <v>1015042</v>
      </c>
      <c r="E893" s="12">
        <v>2</v>
      </c>
      <c r="F893" s="12"/>
      <c r="G893" s="12">
        <v>440</v>
      </c>
      <c r="H893" s="12">
        <v>9</v>
      </c>
      <c r="I893" s="12"/>
      <c r="J893" s="12" t="s">
        <v>149</v>
      </c>
      <c r="K893" s="12" t="b">
        <v>0</v>
      </c>
      <c r="L893" s="12">
        <v>8</v>
      </c>
      <c r="M893" s="8">
        <v>2022</v>
      </c>
      <c r="N893" s="9">
        <v>0</v>
      </c>
      <c r="O893" s="9">
        <v>0</v>
      </c>
      <c r="P893" s="9">
        <v>0</v>
      </c>
      <c r="Q893" s="9">
        <v>0</v>
      </c>
      <c r="R893" s="13">
        <v>41815</v>
      </c>
      <c r="S893" s="13">
        <v>41815</v>
      </c>
    </row>
    <row r="894" spans="1:19">
      <c r="A894" s="10">
        <v>2014</v>
      </c>
      <c r="B894" s="11" t="s">
        <v>483</v>
      </c>
      <c r="C894" s="11" t="s">
        <v>484</v>
      </c>
      <c r="D894" s="12">
        <v>1015042</v>
      </c>
      <c r="E894" s="12">
        <v>2</v>
      </c>
      <c r="F894" s="12"/>
      <c r="G894" s="12">
        <v>440</v>
      </c>
      <c r="H894" s="12">
        <v>9</v>
      </c>
      <c r="I894" s="12"/>
      <c r="J894" s="12" t="s">
        <v>149</v>
      </c>
      <c r="K894" s="12" t="b">
        <v>0</v>
      </c>
      <c r="L894" s="12">
        <v>2</v>
      </c>
      <c r="M894" s="8">
        <v>2016</v>
      </c>
      <c r="N894" s="9">
        <v>0</v>
      </c>
      <c r="O894" s="9">
        <v>0</v>
      </c>
      <c r="P894" s="9">
        <v>0</v>
      </c>
      <c r="Q894" s="9">
        <v>0</v>
      </c>
      <c r="R894" s="13">
        <v>41815</v>
      </c>
      <c r="S894" s="13">
        <v>41815</v>
      </c>
    </row>
    <row r="895" spans="1:19">
      <c r="A895" s="10">
        <v>2014</v>
      </c>
      <c r="B895" s="11" t="s">
        <v>483</v>
      </c>
      <c r="C895" s="11" t="s">
        <v>484</v>
      </c>
      <c r="D895" s="12">
        <v>1015042</v>
      </c>
      <c r="E895" s="12">
        <v>2</v>
      </c>
      <c r="F895" s="12"/>
      <c r="G895" s="12">
        <v>10</v>
      </c>
      <c r="H895" s="12">
        <v>1</v>
      </c>
      <c r="I895" s="12" t="s">
        <v>486</v>
      </c>
      <c r="J895" s="12" t="s">
        <v>24</v>
      </c>
      <c r="K895" s="12" t="b">
        <v>1</v>
      </c>
      <c r="L895" s="12">
        <v>7</v>
      </c>
      <c r="M895" s="8">
        <v>2021</v>
      </c>
      <c r="N895" s="9">
        <v>9675664.1099999994</v>
      </c>
      <c r="O895" s="9">
        <v>10139497.07</v>
      </c>
      <c r="P895" s="9">
        <v>9244413.9900000002</v>
      </c>
      <c r="Q895" s="9">
        <v>8789986.4900000002</v>
      </c>
      <c r="R895" s="13">
        <v>41815</v>
      </c>
      <c r="S895" s="13">
        <v>41815</v>
      </c>
    </row>
    <row r="896" spans="1:19">
      <c r="A896" s="10">
        <v>2014</v>
      </c>
      <c r="B896" s="11" t="s">
        <v>483</v>
      </c>
      <c r="C896" s="11" t="s">
        <v>484</v>
      </c>
      <c r="D896" s="12">
        <v>1015042</v>
      </c>
      <c r="E896" s="12">
        <v>2</v>
      </c>
      <c r="F896" s="12"/>
      <c r="G896" s="12">
        <v>470</v>
      </c>
      <c r="H896" s="12">
        <v>9.1</v>
      </c>
      <c r="I896" s="12" t="s">
        <v>379</v>
      </c>
      <c r="J896" s="12" t="s">
        <v>380</v>
      </c>
      <c r="K896" s="12" t="b">
        <v>1</v>
      </c>
      <c r="L896" s="12">
        <v>1</v>
      </c>
      <c r="M896" s="8">
        <v>2015</v>
      </c>
      <c r="N896" s="9">
        <v>0.1076</v>
      </c>
      <c r="O896" s="9">
        <v>0.1043</v>
      </c>
      <c r="P896" s="9">
        <v>4.7300000000000002E-2</v>
      </c>
      <c r="Q896" s="9">
        <v>4.5600000000000002E-2</v>
      </c>
      <c r="R896" s="13">
        <v>41815</v>
      </c>
      <c r="S896" s="13">
        <v>41815</v>
      </c>
    </row>
    <row r="897" spans="1:19">
      <c r="A897" s="10">
        <v>2014</v>
      </c>
      <c r="B897" s="11" t="s">
        <v>483</v>
      </c>
      <c r="C897" s="11" t="s">
        <v>484</v>
      </c>
      <c r="D897" s="12">
        <v>1015042</v>
      </c>
      <c r="E897" s="12">
        <v>2</v>
      </c>
      <c r="F897" s="12"/>
      <c r="G897" s="12">
        <v>470</v>
      </c>
      <c r="H897" s="12">
        <v>9.1</v>
      </c>
      <c r="I897" s="12" t="s">
        <v>379</v>
      </c>
      <c r="J897" s="12" t="s">
        <v>380</v>
      </c>
      <c r="K897" s="12" t="b">
        <v>1</v>
      </c>
      <c r="L897" s="12">
        <v>6</v>
      </c>
      <c r="M897" s="8">
        <v>2020</v>
      </c>
      <c r="N897" s="9">
        <v>0.1076</v>
      </c>
      <c r="O897" s="9">
        <v>0.1043</v>
      </c>
      <c r="P897" s="9">
        <v>4.7300000000000002E-2</v>
      </c>
      <c r="Q897" s="9">
        <v>4.5600000000000002E-2</v>
      </c>
      <c r="R897" s="13">
        <v>41815</v>
      </c>
      <c r="S897" s="13">
        <v>41815</v>
      </c>
    </row>
    <row r="898" spans="1:19">
      <c r="A898" s="10">
        <v>2014</v>
      </c>
      <c r="B898" s="11" t="s">
        <v>483</v>
      </c>
      <c r="C898" s="11" t="s">
        <v>484</v>
      </c>
      <c r="D898" s="12">
        <v>1015042</v>
      </c>
      <c r="E898" s="12">
        <v>2</v>
      </c>
      <c r="F898" s="12"/>
      <c r="G898" s="12">
        <v>470</v>
      </c>
      <c r="H898" s="12">
        <v>9.1</v>
      </c>
      <c r="I898" s="12" t="s">
        <v>379</v>
      </c>
      <c r="J898" s="12" t="s">
        <v>380</v>
      </c>
      <c r="K898" s="12" t="b">
        <v>1</v>
      </c>
      <c r="L898" s="12">
        <v>4</v>
      </c>
      <c r="M898" s="8">
        <v>2018</v>
      </c>
      <c r="N898" s="9">
        <v>0.1076</v>
      </c>
      <c r="O898" s="9">
        <v>0.1043</v>
      </c>
      <c r="P898" s="9">
        <v>4.7300000000000002E-2</v>
      </c>
      <c r="Q898" s="9">
        <v>4.5600000000000002E-2</v>
      </c>
      <c r="R898" s="13">
        <v>41815</v>
      </c>
      <c r="S898" s="13">
        <v>41815</v>
      </c>
    </row>
    <row r="899" spans="1:19">
      <c r="A899" s="10">
        <v>2014</v>
      </c>
      <c r="B899" s="11" t="s">
        <v>483</v>
      </c>
      <c r="C899" s="11" t="s">
        <v>484</v>
      </c>
      <c r="D899" s="12">
        <v>1015042</v>
      </c>
      <c r="E899" s="12">
        <v>2</v>
      </c>
      <c r="F899" s="12"/>
      <c r="G899" s="12">
        <v>470</v>
      </c>
      <c r="H899" s="12">
        <v>9.1</v>
      </c>
      <c r="I899" s="12" t="s">
        <v>379</v>
      </c>
      <c r="J899" s="12" t="s">
        <v>380</v>
      </c>
      <c r="K899" s="12" t="b">
        <v>1</v>
      </c>
      <c r="L899" s="12">
        <v>8</v>
      </c>
      <c r="M899" s="8">
        <v>2022</v>
      </c>
      <c r="N899" s="9">
        <v>0.1076</v>
      </c>
      <c r="O899" s="9">
        <v>0.1043</v>
      </c>
      <c r="P899" s="9">
        <v>4.7300000000000002E-2</v>
      </c>
      <c r="Q899" s="9">
        <v>4.5600000000000002E-2</v>
      </c>
      <c r="R899" s="13">
        <v>41815</v>
      </c>
      <c r="S899" s="13">
        <v>41815</v>
      </c>
    </row>
    <row r="900" spans="1:19">
      <c r="A900" s="10">
        <v>2014</v>
      </c>
      <c r="B900" s="11" t="s">
        <v>483</v>
      </c>
      <c r="C900" s="11" t="s">
        <v>484</v>
      </c>
      <c r="D900" s="12">
        <v>1015042</v>
      </c>
      <c r="E900" s="12">
        <v>2</v>
      </c>
      <c r="F900" s="12"/>
      <c r="G900" s="12">
        <v>470</v>
      </c>
      <c r="H900" s="12">
        <v>9.1</v>
      </c>
      <c r="I900" s="12" t="s">
        <v>379</v>
      </c>
      <c r="J900" s="12" t="s">
        <v>380</v>
      </c>
      <c r="K900" s="12" t="b">
        <v>1</v>
      </c>
      <c r="L900" s="12">
        <v>0</v>
      </c>
      <c r="M900" s="8">
        <v>2014</v>
      </c>
      <c r="N900" s="9">
        <v>0.1076</v>
      </c>
      <c r="O900" s="9">
        <v>0.1043</v>
      </c>
      <c r="P900" s="9">
        <v>4.7300000000000002E-2</v>
      </c>
      <c r="Q900" s="9">
        <v>4.5600000000000002E-2</v>
      </c>
      <c r="R900" s="13">
        <v>41815</v>
      </c>
      <c r="S900" s="13">
        <v>41815</v>
      </c>
    </row>
    <row r="901" spans="1:19">
      <c r="A901" s="10">
        <v>2014</v>
      </c>
      <c r="B901" s="11" t="s">
        <v>483</v>
      </c>
      <c r="C901" s="11" t="s">
        <v>484</v>
      </c>
      <c r="D901" s="12">
        <v>1015042</v>
      </c>
      <c r="E901" s="12">
        <v>2</v>
      </c>
      <c r="F901" s="12"/>
      <c r="G901" s="12">
        <v>470</v>
      </c>
      <c r="H901" s="12">
        <v>9.1</v>
      </c>
      <c r="I901" s="12" t="s">
        <v>379</v>
      </c>
      <c r="J901" s="12" t="s">
        <v>380</v>
      </c>
      <c r="K901" s="12" t="b">
        <v>1</v>
      </c>
      <c r="L901" s="12">
        <v>7</v>
      </c>
      <c r="M901" s="8">
        <v>2021</v>
      </c>
      <c r="N901" s="9">
        <v>0.1076</v>
      </c>
      <c r="O901" s="9">
        <v>0.1043</v>
      </c>
      <c r="P901" s="9">
        <v>4.7300000000000002E-2</v>
      </c>
      <c r="Q901" s="9">
        <v>4.5600000000000002E-2</v>
      </c>
      <c r="R901" s="13">
        <v>41815</v>
      </c>
      <c r="S901" s="13">
        <v>41815</v>
      </c>
    </row>
    <row r="902" spans="1:19">
      <c r="A902" s="10">
        <v>2014</v>
      </c>
      <c r="B902" s="11" t="s">
        <v>483</v>
      </c>
      <c r="C902" s="11" t="s">
        <v>484</v>
      </c>
      <c r="D902" s="12">
        <v>1015042</v>
      </c>
      <c r="E902" s="12">
        <v>2</v>
      </c>
      <c r="F902" s="12"/>
      <c r="G902" s="12">
        <v>470</v>
      </c>
      <c r="H902" s="12">
        <v>9.1</v>
      </c>
      <c r="I902" s="12" t="s">
        <v>379</v>
      </c>
      <c r="J902" s="12" t="s">
        <v>380</v>
      </c>
      <c r="K902" s="12" t="b">
        <v>1</v>
      </c>
      <c r="L902" s="12">
        <v>5</v>
      </c>
      <c r="M902" s="8">
        <v>2019</v>
      </c>
      <c r="N902" s="9">
        <v>0.1076</v>
      </c>
      <c r="O902" s="9">
        <v>0.1043</v>
      </c>
      <c r="P902" s="9">
        <v>4.7300000000000002E-2</v>
      </c>
      <c r="Q902" s="9">
        <v>4.5600000000000002E-2</v>
      </c>
      <c r="R902" s="13">
        <v>41815</v>
      </c>
      <c r="S902" s="13">
        <v>41815</v>
      </c>
    </row>
    <row r="903" spans="1:19">
      <c r="A903" s="10">
        <v>2014</v>
      </c>
      <c r="B903" s="11" t="s">
        <v>483</v>
      </c>
      <c r="C903" s="11" t="s">
        <v>484</v>
      </c>
      <c r="D903" s="12">
        <v>1015042</v>
      </c>
      <c r="E903" s="12">
        <v>2</v>
      </c>
      <c r="F903" s="12"/>
      <c r="G903" s="12">
        <v>470</v>
      </c>
      <c r="H903" s="12">
        <v>9.1</v>
      </c>
      <c r="I903" s="12" t="s">
        <v>379</v>
      </c>
      <c r="J903" s="12" t="s">
        <v>380</v>
      </c>
      <c r="K903" s="12" t="b">
        <v>1</v>
      </c>
      <c r="L903" s="12">
        <v>2</v>
      </c>
      <c r="M903" s="8">
        <v>2016</v>
      </c>
      <c r="N903" s="9">
        <v>0.1076</v>
      </c>
      <c r="O903" s="9">
        <v>0.1043</v>
      </c>
      <c r="P903" s="9">
        <v>4.7300000000000002E-2</v>
      </c>
      <c r="Q903" s="9">
        <v>4.5600000000000002E-2</v>
      </c>
      <c r="R903" s="13">
        <v>41815</v>
      </c>
      <c r="S903" s="13">
        <v>41815</v>
      </c>
    </row>
    <row r="904" spans="1:19">
      <c r="A904" s="10">
        <v>2014</v>
      </c>
      <c r="B904" s="11" t="s">
        <v>483</v>
      </c>
      <c r="C904" s="11" t="s">
        <v>484</v>
      </c>
      <c r="D904" s="12">
        <v>1015042</v>
      </c>
      <c r="E904" s="12">
        <v>2</v>
      </c>
      <c r="F904" s="12"/>
      <c r="G904" s="12">
        <v>470</v>
      </c>
      <c r="H904" s="12">
        <v>9.1</v>
      </c>
      <c r="I904" s="12" t="s">
        <v>379</v>
      </c>
      <c r="J904" s="12" t="s">
        <v>380</v>
      </c>
      <c r="K904" s="12" t="b">
        <v>1</v>
      </c>
      <c r="L904" s="12">
        <v>3</v>
      </c>
      <c r="M904" s="8">
        <v>2017</v>
      </c>
      <c r="N904" s="9">
        <v>0.1076</v>
      </c>
      <c r="O904" s="9">
        <v>0.1043</v>
      </c>
      <c r="P904" s="9">
        <v>4.7300000000000002E-2</v>
      </c>
      <c r="Q904" s="9">
        <v>4.5600000000000002E-2</v>
      </c>
      <c r="R904" s="13">
        <v>41815</v>
      </c>
      <c r="S904" s="13">
        <v>41815</v>
      </c>
    </row>
    <row r="905" spans="1:19">
      <c r="A905" s="10">
        <v>2014</v>
      </c>
      <c r="B905" s="11" t="s">
        <v>483</v>
      </c>
      <c r="C905" s="11" t="s">
        <v>484</v>
      </c>
      <c r="D905" s="12">
        <v>1015042</v>
      </c>
      <c r="E905" s="12">
        <v>2</v>
      </c>
      <c r="F905" s="12"/>
      <c r="G905" s="12">
        <v>510</v>
      </c>
      <c r="H905" s="12">
        <v>9.6</v>
      </c>
      <c r="I905" s="12"/>
      <c r="J905" s="12" t="s">
        <v>389</v>
      </c>
      <c r="K905" s="12" t="b">
        <v>1</v>
      </c>
      <c r="L905" s="12">
        <v>7</v>
      </c>
      <c r="M905" s="8">
        <v>2021</v>
      </c>
      <c r="N905" s="9">
        <v>0</v>
      </c>
      <c r="O905" s="9">
        <v>0</v>
      </c>
      <c r="P905" s="9">
        <v>0</v>
      </c>
      <c r="Q905" s="9">
        <v>0</v>
      </c>
      <c r="R905" s="13">
        <v>41815</v>
      </c>
      <c r="S905" s="13">
        <v>41815</v>
      </c>
    </row>
    <row r="906" spans="1:19">
      <c r="A906" s="10">
        <v>2014</v>
      </c>
      <c r="B906" s="11" t="s">
        <v>483</v>
      </c>
      <c r="C906" s="11" t="s">
        <v>484</v>
      </c>
      <c r="D906" s="12">
        <v>1015042</v>
      </c>
      <c r="E906" s="12">
        <v>2</v>
      </c>
      <c r="F906" s="12"/>
      <c r="G906" s="12">
        <v>150</v>
      </c>
      <c r="H906" s="12" t="s">
        <v>61</v>
      </c>
      <c r="I906" s="12"/>
      <c r="J906" s="12" t="s">
        <v>358</v>
      </c>
      <c r="K906" s="12" t="b">
        <v>1</v>
      </c>
      <c r="L906" s="12">
        <v>1</v>
      </c>
      <c r="M906" s="8">
        <v>2015</v>
      </c>
      <c r="N906" s="9">
        <v>0</v>
      </c>
      <c r="O906" s="9">
        <v>0</v>
      </c>
      <c r="P906" s="9">
        <v>0</v>
      </c>
      <c r="Q906" s="9">
        <v>0</v>
      </c>
      <c r="R906" s="13">
        <v>41815</v>
      </c>
      <c r="S906" s="13">
        <v>41815</v>
      </c>
    </row>
    <row r="907" spans="1:19">
      <c r="A907" s="10">
        <v>2014</v>
      </c>
      <c r="B907" s="11" t="s">
        <v>483</v>
      </c>
      <c r="C907" s="11" t="s">
        <v>484</v>
      </c>
      <c r="D907" s="12">
        <v>1015042</v>
      </c>
      <c r="E907" s="12">
        <v>2</v>
      </c>
      <c r="F907" s="12"/>
      <c r="G907" s="12">
        <v>510</v>
      </c>
      <c r="H907" s="12">
        <v>9.6</v>
      </c>
      <c r="I907" s="12"/>
      <c r="J907" s="12" t="s">
        <v>389</v>
      </c>
      <c r="K907" s="12" t="b">
        <v>1</v>
      </c>
      <c r="L907" s="12">
        <v>2</v>
      </c>
      <c r="M907" s="8">
        <v>2016</v>
      </c>
      <c r="N907" s="9">
        <v>0</v>
      </c>
      <c r="O907" s="9">
        <v>0</v>
      </c>
      <c r="P907" s="9">
        <v>0</v>
      </c>
      <c r="Q907" s="9">
        <v>0</v>
      </c>
      <c r="R907" s="13">
        <v>41815</v>
      </c>
      <c r="S907" s="13">
        <v>41815</v>
      </c>
    </row>
    <row r="908" spans="1:19">
      <c r="A908" s="10">
        <v>2014</v>
      </c>
      <c r="B908" s="11" t="s">
        <v>483</v>
      </c>
      <c r="C908" s="11" t="s">
        <v>484</v>
      </c>
      <c r="D908" s="12">
        <v>1015042</v>
      </c>
      <c r="E908" s="12">
        <v>2</v>
      </c>
      <c r="F908" s="12"/>
      <c r="G908" s="12">
        <v>510</v>
      </c>
      <c r="H908" s="12">
        <v>9.6</v>
      </c>
      <c r="I908" s="12"/>
      <c r="J908" s="12" t="s">
        <v>389</v>
      </c>
      <c r="K908" s="12" t="b">
        <v>1</v>
      </c>
      <c r="L908" s="12">
        <v>8</v>
      </c>
      <c r="M908" s="8">
        <v>2022</v>
      </c>
      <c r="N908" s="9">
        <v>0</v>
      </c>
      <c r="O908" s="9">
        <v>0</v>
      </c>
      <c r="P908" s="9">
        <v>0</v>
      </c>
      <c r="Q908" s="9">
        <v>0</v>
      </c>
      <c r="R908" s="13">
        <v>41815</v>
      </c>
      <c r="S908" s="13">
        <v>41815</v>
      </c>
    </row>
    <row r="909" spans="1:19">
      <c r="A909" s="10">
        <v>2014</v>
      </c>
      <c r="B909" s="11" t="s">
        <v>483</v>
      </c>
      <c r="C909" s="11" t="s">
        <v>484</v>
      </c>
      <c r="D909" s="12">
        <v>1015042</v>
      </c>
      <c r="E909" s="12">
        <v>2</v>
      </c>
      <c r="F909" s="12"/>
      <c r="G909" s="12">
        <v>510</v>
      </c>
      <c r="H909" s="12">
        <v>9.6</v>
      </c>
      <c r="I909" s="12"/>
      <c r="J909" s="12" t="s">
        <v>389</v>
      </c>
      <c r="K909" s="12" t="b">
        <v>1</v>
      </c>
      <c r="L909" s="12">
        <v>5</v>
      </c>
      <c r="M909" s="8">
        <v>2019</v>
      </c>
      <c r="N909" s="9">
        <v>0</v>
      </c>
      <c r="O909" s="9">
        <v>0</v>
      </c>
      <c r="P909" s="9">
        <v>0</v>
      </c>
      <c r="Q909" s="9">
        <v>0</v>
      </c>
      <c r="R909" s="13">
        <v>41815</v>
      </c>
      <c r="S909" s="13">
        <v>41815</v>
      </c>
    </row>
    <row r="910" spans="1:19">
      <c r="A910" s="10">
        <v>2014</v>
      </c>
      <c r="B910" s="11" t="s">
        <v>483</v>
      </c>
      <c r="C910" s="11" t="s">
        <v>484</v>
      </c>
      <c r="D910" s="12">
        <v>1015042</v>
      </c>
      <c r="E910" s="12">
        <v>2</v>
      </c>
      <c r="F910" s="12"/>
      <c r="G910" s="12">
        <v>510</v>
      </c>
      <c r="H910" s="12">
        <v>9.6</v>
      </c>
      <c r="I910" s="12"/>
      <c r="J910" s="12" t="s">
        <v>389</v>
      </c>
      <c r="K910" s="12" t="b">
        <v>1</v>
      </c>
      <c r="L910" s="12">
        <v>3</v>
      </c>
      <c r="M910" s="8">
        <v>2017</v>
      </c>
      <c r="N910" s="9">
        <v>0</v>
      </c>
      <c r="O910" s="9">
        <v>0</v>
      </c>
      <c r="P910" s="9">
        <v>0</v>
      </c>
      <c r="Q910" s="9">
        <v>0</v>
      </c>
      <c r="R910" s="13">
        <v>41815</v>
      </c>
      <c r="S910" s="13">
        <v>41815</v>
      </c>
    </row>
    <row r="911" spans="1:19">
      <c r="A911" s="10">
        <v>2014</v>
      </c>
      <c r="B911" s="11" t="s">
        <v>483</v>
      </c>
      <c r="C911" s="11" t="s">
        <v>484</v>
      </c>
      <c r="D911" s="12">
        <v>1015042</v>
      </c>
      <c r="E911" s="12">
        <v>2</v>
      </c>
      <c r="F911" s="12"/>
      <c r="G911" s="12">
        <v>510</v>
      </c>
      <c r="H911" s="12">
        <v>9.6</v>
      </c>
      <c r="I911" s="12"/>
      <c r="J911" s="12" t="s">
        <v>389</v>
      </c>
      <c r="K911" s="12" t="b">
        <v>1</v>
      </c>
      <c r="L911" s="12">
        <v>4</v>
      </c>
      <c r="M911" s="8">
        <v>2018</v>
      </c>
      <c r="N911" s="9">
        <v>0</v>
      </c>
      <c r="O911" s="9">
        <v>0</v>
      </c>
      <c r="P911" s="9">
        <v>0</v>
      </c>
      <c r="Q911" s="9">
        <v>0</v>
      </c>
      <c r="R911" s="13">
        <v>41815</v>
      </c>
      <c r="S911" s="13">
        <v>41815</v>
      </c>
    </row>
    <row r="912" spans="1:19">
      <c r="A912" s="10">
        <v>2014</v>
      </c>
      <c r="B912" s="11" t="s">
        <v>483</v>
      </c>
      <c r="C912" s="11" t="s">
        <v>484</v>
      </c>
      <c r="D912" s="12">
        <v>1015042</v>
      </c>
      <c r="E912" s="12">
        <v>2</v>
      </c>
      <c r="F912" s="12"/>
      <c r="G912" s="12">
        <v>510</v>
      </c>
      <c r="H912" s="12">
        <v>9.6</v>
      </c>
      <c r="I912" s="12"/>
      <c r="J912" s="12" t="s">
        <v>389</v>
      </c>
      <c r="K912" s="12" t="b">
        <v>1</v>
      </c>
      <c r="L912" s="12">
        <v>0</v>
      </c>
      <c r="M912" s="8">
        <v>2014</v>
      </c>
      <c r="N912" s="9">
        <v>0</v>
      </c>
      <c r="O912" s="9">
        <v>0</v>
      </c>
      <c r="P912" s="9">
        <v>0</v>
      </c>
      <c r="Q912" s="9">
        <v>0</v>
      </c>
      <c r="R912" s="13">
        <v>41815</v>
      </c>
      <c r="S912" s="13">
        <v>41815</v>
      </c>
    </row>
    <row r="913" spans="1:19">
      <c r="A913" s="10">
        <v>2014</v>
      </c>
      <c r="B913" s="11" t="s">
        <v>483</v>
      </c>
      <c r="C913" s="11" t="s">
        <v>484</v>
      </c>
      <c r="D913" s="12">
        <v>1015042</v>
      </c>
      <c r="E913" s="12">
        <v>2</v>
      </c>
      <c r="F913" s="12"/>
      <c r="G913" s="12">
        <v>510</v>
      </c>
      <c r="H913" s="12">
        <v>9.6</v>
      </c>
      <c r="I913" s="12"/>
      <c r="J913" s="12" t="s">
        <v>389</v>
      </c>
      <c r="K913" s="12" t="b">
        <v>1</v>
      </c>
      <c r="L913" s="12">
        <v>1</v>
      </c>
      <c r="M913" s="8">
        <v>2015</v>
      </c>
      <c r="N913" s="9">
        <v>0</v>
      </c>
      <c r="O913" s="9">
        <v>0</v>
      </c>
      <c r="P913" s="9">
        <v>0</v>
      </c>
      <c r="Q913" s="9">
        <v>0</v>
      </c>
      <c r="R913" s="13">
        <v>41815</v>
      </c>
      <c r="S913" s="13">
        <v>41815</v>
      </c>
    </row>
    <row r="914" spans="1:19">
      <c r="A914" s="10">
        <v>2014</v>
      </c>
      <c r="B914" s="11" t="s">
        <v>483</v>
      </c>
      <c r="C914" s="11" t="s">
        <v>484</v>
      </c>
      <c r="D914" s="12">
        <v>1015042</v>
      </c>
      <c r="E914" s="12">
        <v>2</v>
      </c>
      <c r="F914" s="12"/>
      <c r="G914" s="12">
        <v>510</v>
      </c>
      <c r="H914" s="12">
        <v>9.6</v>
      </c>
      <c r="I914" s="12"/>
      <c r="J914" s="12" t="s">
        <v>389</v>
      </c>
      <c r="K914" s="12" t="b">
        <v>1</v>
      </c>
      <c r="L914" s="12">
        <v>6</v>
      </c>
      <c r="M914" s="8">
        <v>2020</v>
      </c>
      <c r="N914" s="9">
        <v>0</v>
      </c>
      <c r="O914" s="9">
        <v>0</v>
      </c>
      <c r="P914" s="9">
        <v>0</v>
      </c>
      <c r="Q914" s="9">
        <v>0</v>
      </c>
      <c r="R914" s="13">
        <v>41815</v>
      </c>
      <c r="S914" s="13">
        <v>41815</v>
      </c>
    </row>
    <row r="915" spans="1:19">
      <c r="A915" s="10">
        <v>2014</v>
      </c>
      <c r="B915" s="11" t="s">
        <v>483</v>
      </c>
      <c r="C915" s="11" t="s">
        <v>484</v>
      </c>
      <c r="D915" s="12">
        <v>1015042</v>
      </c>
      <c r="E915" s="12">
        <v>2</v>
      </c>
      <c r="F915" s="12"/>
      <c r="G915" s="12">
        <v>184</v>
      </c>
      <c r="H915" s="12" t="s">
        <v>364</v>
      </c>
      <c r="I915" s="12"/>
      <c r="J915" s="12" t="s">
        <v>365</v>
      </c>
      <c r="K915" s="12" t="b">
        <v>0</v>
      </c>
      <c r="L915" s="12">
        <v>8</v>
      </c>
      <c r="M915" s="8">
        <v>2022</v>
      </c>
      <c r="N915" s="9">
        <v>0</v>
      </c>
      <c r="O915" s="9">
        <v>0</v>
      </c>
      <c r="P915" s="9">
        <v>0</v>
      </c>
      <c r="Q915" s="9">
        <v>6687.99</v>
      </c>
      <c r="R915" s="13">
        <v>41815</v>
      </c>
      <c r="S915" s="13">
        <v>41815</v>
      </c>
    </row>
    <row r="916" spans="1:19">
      <c r="A916" s="10">
        <v>2014</v>
      </c>
      <c r="B916" s="11" t="s">
        <v>483</v>
      </c>
      <c r="C916" s="11" t="s">
        <v>484</v>
      </c>
      <c r="D916" s="12">
        <v>1015042</v>
      </c>
      <c r="E916" s="12">
        <v>2</v>
      </c>
      <c r="F916" s="12"/>
      <c r="G916" s="12">
        <v>184</v>
      </c>
      <c r="H916" s="12" t="s">
        <v>364</v>
      </c>
      <c r="I916" s="12"/>
      <c r="J916" s="12" t="s">
        <v>365</v>
      </c>
      <c r="K916" s="12" t="b">
        <v>0</v>
      </c>
      <c r="L916" s="12">
        <v>1</v>
      </c>
      <c r="M916" s="8">
        <v>2015</v>
      </c>
      <c r="N916" s="9">
        <v>0</v>
      </c>
      <c r="O916" s="9">
        <v>0</v>
      </c>
      <c r="P916" s="9">
        <v>0</v>
      </c>
      <c r="Q916" s="9">
        <v>6687.99</v>
      </c>
      <c r="R916" s="13">
        <v>41815</v>
      </c>
      <c r="S916" s="13">
        <v>41815</v>
      </c>
    </row>
    <row r="917" spans="1:19">
      <c r="A917" s="10">
        <v>2014</v>
      </c>
      <c r="B917" s="11" t="s">
        <v>483</v>
      </c>
      <c r="C917" s="11" t="s">
        <v>484</v>
      </c>
      <c r="D917" s="12">
        <v>1015042</v>
      </c>
      <c r="E917" s="12">
        <v>2</v>
      </c>
      <c r="F917" s="12"/>
      <c r="G917" s="12">
        <v>184</v>
      </c>
      <c r="H917" s="12" t="s">
        <v>364</v>
      </c>
      <c r="I917" s="12"/>
      <c r="J917" s="12" t="s">
        <v>365</v>
      </c>
      <c r="K917" s="12" t="b">
        <v>0</v>
      </c>
      <c r="L917" s="12">
        <v>7</v>
      </c>
      <c r="M917" s="8">
        <v>2021</v>
      </c>
      <c r="N917" s="9">
        <v>0</v>
      </c>
      <c r="O917" s="9">
        <v>0</v>
      </c>
      <c r="P917" s="9">
        <v>0</v>
      </c>
      <c r="Q917" s="9">
        <v>6687.99</v>
      </c>
      <c r="R917" s="13">
        <v>41815</v>
      </c>
      <c r="S917" s="13">
        <v>41815</v>
      </c>
    </row>
    <row r="918" spans="1:19">
      <c r="A918" s="10">
        <v>2014</v>
      </c>
      <c r="B918" s="11" t="s">
        <v>483</v>
      </c>
      <c r="C918" s="11" t="s">
        <v>484</v>
      </c>
      <c r="D918" s="12">
        <v>1015042</v>
      </c>
      <c r="E918" s="12">
        <v>2</v>
      </c>
      <c r="F918" s="12"/>
      <c r="G918" s="12">
        <v>184</v>
      </c>
      <c r="H918" s="12" t="s">
        <v>364</v>
      </c>
      <c r="I918" s="12"/>
      <c r="J918" s="12" t="s">
        <v>365</v>
      </c>
      <c r="K918" s="12" t="b">
        <v>0</v>
      </c>
      <c r="L918" s="12">
        <v>5</v>
      </c>
      <c r="M918" s="8">
        <v>2019</v>
      </c>
      <c r="N918" s="9">
        <v>0</v>
      </c>
      <c r="O918" s="9">
        <v>0</v>
      </c>
      <c r="P918" s="9">
        <v>0</v>
      </c>
      <c r="Q918" s="9">
        <v>6687.99</v>
      </c>
      <c r="R918" s="13">
        <v>41815</v>
      </c>
      <c r="S918" s="13">
        <v>41815</v>
      </c>
    </row>
    <row r="919" spans="1:19">
      <c r="A919" s="10">
        <v>2014</v>
      </c>
      <c r="B919" s="11" t="s">
        <v>483</v>
      </c>
      <c r="C919" s="11" t="s">
        <v>484</v>
      </c>
      <c r="D919" s="12">
        <v>1015042</v>
      </c>
      <c r="E919" s="12">
        <v>2</v>
      </c>
      <c r="F919" s="12"/>
      <c r="G919" s="12">
        <v>184</v>
      </c>
      <c r="H919" s="12" t="s">
        <v>364</v>
      </c>
      <c r="I919" s="12"/>
      <c r="J919" s="12" t="s">
        <v>365</v>
      </c>
      <c r="K919" s="12" t="b">
        <v>0</v>
      </c>
      <c r="L919" s="12">
        <v>0</v>
      </c>
      <c r="M919" s="8">
        <v>2014</v>
      </c>
      <c r="N919" s="9">
        <v>0</v>
      </c>
      <c r="O919" s="9">
        <v>0</v>
      </c>
      <c r="P919" s="9">
        <v>0</v>
      </c>
      <c r="Q919" s="9">
        <v>6687.99</v>
      </c>
      <c r="R919" s="13">
        <v>41815</v>
      </c>
      <c r="S919" s="13">
        <v>41815</v>
      </c>
    </row>
    <row r="920" spans="1:19">
      <c r="A920" s="10">
        <v>2014</v>
      </c>
      <c r="B920" s="11" t="s">
        <v>483</v>
      </c>
      <c r="C920" s="11" t="s">
        <v>484</v>
      </c>
      <c r="D920" s="12">
        <v>1015042</v>
      </c>
      <c r="E920" s="12">
        <v>2</v>
      </c>
      <c r="F920" s="12"/>
      <c r="G920" s="12">
        <v>184</v>
      </c>
      <c r="H920" s="12" t="s">
        <v>364</v>
      </c>
      <c r="I920" s="12"/>
      <c r="J920" s="12" t="s">
        <v>365</v>
      </c>
      <c r="K920" s="12" t="b">
        <v>0</v>
      </c>
      <c r="L920" s="12">
        <v>4</v>
      </c>
      <c r="M920" s="8">
        <v>2018</v>
      </c>
      <c r="N920" s="9">
        <v>0</v>
      </c>
      <c r="O920" s="9">
        <v>0</v>
      </c>
      <c r="P920" s="9">
        <v>0</v>
      </c>
      <c r="Q920" s="9">
        <v>6687.99</v>
      </c>
      <c r="R920" s="13">
        <v>41815</v>
      </c>
      <c r="S920" s="13">
        <v>41815</v>
      </c>
    </row>
    <row r="921" spans="1:19">
      <c r="A921" s="10">
        <v>2014</v>
      </c>
      <c r="B921" s="11" t="s">
        <v>483</v>
      </c>
      <c r="C921" s="11" t="s">
        <v>484</v>
      </c>
      <c r="D921" s="12">
        <v>1015042</v>
      </c>
      <c r="E921" s="12">
        <v>2</v>
      </c>
      <c r="F921" s="12"/>
      <c r="G921" s="12">
        <v>184</v>
      </c>
      <c r="H921" s="12" t="s">
        <v>364</v>
      </c>
      <c r="I921" s="12"/>
      <c r="J921" s="12" t="s">
        <v>365</v>
      </c>
      <c r="K921" s="12" t="b">
        <v>0</v>
      </c>
      <c r="L921" s="12">
        <v>2</v>
      </c>
      <c r="M921" s="8">
        <v>2016</v>
      </c>
      <c r="N921" s="9">
        <v>0</v>
      </c>
      <c r="O921" s="9">
        <v>0</v>
      </c>
      <c r="P921" s="9">
        <v>0</v>
      </c>
      <c r="Q921" s="9">
        <v>6687.99</v>
      </c>
      <c r="R921" s="13">
        <v>41815</v>
      </c>
      <c r="S921" s="13">
        <v>41815</v>
      </c>
    </row>
    <row r="922" spans="1:19">
      <c r="A922" s="10">
        <v>2014</v>
      </c>
      <c r="B922" s="11" t="s">
        <v>483</v>
      </c>
      <c r="C922" s="11" t="s">
        <v>484</v>
      </c>
      <c r="D922" s="12">
        <v>1015042</v>
      </c>
      <c r="E922" s="12">
        <v>2</v>
      </c>
      <c r="F922" s="12"/>
      <c r="G922" s="12">
        <v>184</v>
      </c>
      <c r="H922" s="12" t="s">
        <v>364</v>
      </c>
      <c r="I922" s="12"/>
      <c r="J922" s="12" t="s">
        <v>365</v>
      </c>
      <c r="K922" s="12" t="b">
        <v>0</v>
      </c>
      <c r="L922" s="12">
        <v>6</v>
      </c>
      <c r="M922" s="8">
        <v>2020</v>
      </c>
      <c r="N922" s="9">
        <v>0</v>
      </c>
      <c r="O922" s="9">
        <v>0</v>
      </c>
      <c r="P922" s="9">
        <v>0</v>
      </c>
      <c r="Q922" s="9">
        <v>6687.99</v>
      </c>
      <c r="R922" s="13">
        <v>41815</v>
      </c>
      <c r="S922" s="13">
        <v>41815</v>
      </c>
    </row>
    <row r="923" spans="1:19">
      <c r="A923" s="10">
        <v>2014</v>
      </c>
      <c r="B923" s="11" t="s">
        <v>483</v>
      </c>
      <c r="C923" s="11" t="s">
        <v>484</v>
      </c>
      <c r="D923" s="12">
        <v>1015042</v>
      </c>
      <c r="E923" s="12">
        <v>2</v>
      </c>
      <c r="F923" s="12"/>
      <c r="G923" s="12">
        <v>184</v>
      </c>
      <c r="H923" s="12" t="s">
        <v>364</v>
      </c>
      <c r="I923" s="12"/>
      <c r="J923" s="12" t="s">
        <v>365</v>
      </c>
      <c r="K923" s="12" t="b">
        <v>0</v>
      </c>
      <c r="L923" s="12">
        <v>3</v>
      </c>
      <c r="M923" s="8">
        <v>2017</v>
      </c>
      <c r="N923" s="9">
        <v>0</v>
      </c>
      <c r="O923" s="9">
        <v>0</v>
      </c>
      <c r="P923" s="9">
        <v>0</v>
      </c>
      <c r="Q923" s="9">
        <v>6687.99</v>
      </c>
      <c r="R923" s="13">
        <v>41815</v>
      </c>
      <c r="S923" s="13">
        <v>41815</v>
      </c>
    </row>
    <row r="924" spans="1:19">
      <c r="A924" s="10">
        <v>2014</v>
      </c>
      <c r="B924" s="11" t="s">
        <v>483</v>
      </c>
      <c r="C924" s="11" t="s">
        <v>484</v>
      </c>
      <c r="D924" s="12">
        <v>1015042</v>
      </c>
      <c r="E924" s="12">
        <v>2</v>
      </c>
      <c r="F924" s="12"/>
      <c r="G924" s="12">
        <v>930</v>
      </c>
      <c r="H924" s="12" t="s">
        <v>133</v>
      </c>
      <c r="I924" s="12"/>
      <c r="J924" s="12" t="s">
        <v>134</v>
      </c>
      <c r="K924" s="12" t="b">
        <v>1</v>
      </c>
      <c r="L924" s="12">
        <v>6</v>
      </c>
      <c r="M924" s="8">
        <v>2020</v>
      </c>
      <c r="N924" s="9">
        <v>0</v>
      </c>
      <c r="O924" s="9">
        <v>0</v>
      </c>
      <c r="P924" s="9">
        <v>0</v>
      </c>
      <c r="Q924" s="9">
        <v>0</v>
      </c>
      <c r="R924" s="13">
        <v>41815</v>
      </c>
      <c r="S924" s="13">
        <v>41815</v>
      </c>
    </row>
    <row r="925" spans="1:19">
      <c r="A925" s="10">
        <v>2014</v>
      </c>
      <c r="B925" s="11" t="s">
        <v>483</v>
      </c>
      <c r="C925" s="11" t="s">
        <v>484</v>
      </c>
      <c r="D925" s="12">
        <v>1015042</v>
      </c>
      <c r="E925" s="12">
        <v>2</v>
      </c>
      <c r="F925" s="12"/>
      <c r="G925" s="12">
        <v>930</v>
      </c>
      <c r="H925" s="12" t="s">
        <v>133</v>
      </c>
      <c r="I925" s="12"/>
      <c r="J925" s="12" t="s">
        <v>134</v>
      </c>
      <c r="K925" s="12" t="b">
        <v>1</v>
      </c>
      <c r="L925" s="12">
        <v>5</v>
      </c>
      <c r="M925" s="8">
        <v>2019</v>
      </c>
      <c r="N925" s="9">
        <v>0</v>
      </c>
      <c r="O925" s="9">
        <v>0</v>
      </c>
      <c r="P925" s="9">
        <v>0</v>
      </c>
      <c r="Q925" s="9">
        <v>0</v>
      </c>
      <c r="R925" s="13">
        <v>41815</v>
      </c>
      <c r="S925" s="13">
        <v>41815</v>
      </c>
    </row>
    <row r="926" spans="1:19">
      <c r="A926" s="10">
        <v>2014</v>
      </c>
      <c r="B926" s="11" t="s">
        <v>483</v>
      </c>
      <c r="C926" s="11" t="s">
        <v>484</v>
      </c>
      <c r="D926" s="12">
        <v>1015042</v>
      </c>
      <c r="E926" s="12">
        <v>2</v>
      </c>
      <c r="F926" s="12"/>
      <c r="G926" s="12">
        <v>930</v>
      </c>
      <c r="H926" s="12" t="s">
        <v>133</v>
      </c>
      <c r="I926" s="12"/>
      <c r="J926" s="12" t="s">
        <v>134</v>
      </c>
      <c r="K926" s="12" t="b">
        <v>1</v>
      </c>
      <c r="L926" s="12">
        <v>3</v>
      </c>
      <c r="M926" s="8">
        <v>2017</v>
      </c>
      <c r="N926" s="9">
        <v>0</v>
      </c>
      <c r="O926" s="9">
        <v>0</v>
      </c>
      <c r="P926" s="9">
        <v>0</v>
      </c>
      <c r="Q926" s="9">
        <v>0</v>
      </c>
      <c r="R926" s="13">
        <v>41815</v>
      </c>
      <c r="S926" s="13">
        <v>41815</v>
      </c>
    </row>
    <row r="927" spans="1:19">
      <c r="A927" s="10">
        <v>2014</v>
      </c>
      <c r="B927" s="11" t="s">
        <v>483</v>
      </c>
      <c r="C927" s="11" t="s">
        <v>484</v>
      </c>
      <c r="D927" s="12">
        <v>1015042</v>
      </c>
      <c r="E927" s="12">
        <v>2</v>
      </c>
      <c r="F927" s="12"/>
      <c r="G927" s="12">
        <v>930</v>
      </c>
      <c r="H927" s="12" t="s">
        <v>133</v>
      </c>
      <c r="I927" s="12"/>
      <c r="J927" s="12" t="s">
        <v>134</v>
      </c>
      <c r="K927" s="12" t="b">
        <v>1</v>
      </c>
      <c r="L927" s="12">
        <v>8</v>
      </c>
      <c r="M927" s="8">
        <v>2022</v>
      </c>
      <c r="N927" s="9">
        <v>0</v>
      </c>
      <c r="O927" s="9">
        <v>0</v>
      </c>
      <c r="P927" s="9">
        <v>0</v>
      </c>
      <c r="Q927" s="9">
        <v>0</v>
      </c>
      <c r="R927" s="13">
        <v>41815</v>
      </c>
      <c r="S927" s="13">
        <v>41815</v>
      </c>
    </row>
    <row r="928" spans="1:19">
      <c r="A928" s="10">
        <v>2014</v>
      </c>
      <c r="B928" s="11" t="s">
        <v>483</v>
      </c>
      <c r="C928" s="11" t="s">
        <v>484</v>
      </c>
      <c r="D928" s="12">
        <v>1015042</v>
      </c>
      <c r="E928" s="12">
        <v>2</v>
      </c>
      <c r="F928" s="12"/>
      <c r="G928" s="12">
        <v>930</v>
      </c>
      <c r="H928" s="12" t="s">
        <v>133</v>
      </c>
      <c r="I928" s="12"/>
      <c r="J928" s="12" t="s">
        <v>134</v>
      </c>
      <c r="K928" s="12" t="b">
        <v>1</v>
      </c>
      <c r="L928" s="12">
        <v>4</v>
      </c>
      <c r="M928" s="8">
        <v>2018</v>
      </c>
      <c r="N928" s="9">
        <v>0</v>
      </c>
      <c r="O928" s="9">
        <v>0</v>
      </c>
      <c r="P928" s="9">
        <v>0</v>
      </c>
      <c r="Q928" s="9">
        <v>0</v>
      </c>
      <c r="R928" s="13">
        <v>41815</v>
      </c>
      <c r="S928" s="13">
        <v>41815</v>
      </c>
    </row>
    <row r="929" spans="1:19">
      <c r="A929" s="10">
        <v>2014</v>
      </c>
      <c r="B929" s="11" t="s">
        <v>483</v>
      </c>
      <c r="C929" s="11" t="s">
        <v>484</v>
      </c>
      <c r="D929" s="12">
        <v>1015042</v>
      </c>
      <c r="E929" s="12">
        <v>2</v>
      </c>
      <c r="F929" s="12"/>
      <c r="G929" s="12">
        <v>930</v>
      </c>
      <c r="H929" s="12" t="s">
        <v>133</v>
      </c>
      <c r="I929" s="12"/>
      <c r="J929" s="12" t="s">
        <v>134</v>
      </c>
      <c r="K929" s="12" t="b">
        <v>1</v>
      </c>
      <c r="L929" s="12">
        <v>1</v>
      </c>
      <c r="M929" s="8">
        <v>2015</v>
      </c>
      <c r="N929" s="9">
        <v>0</v>
      </c>
      <c r="O929" s="9">
        <v>0</v>
      </c>
      <c r="P929" s="9">
        <v>0</v>
      </c>
      <c r="Q929" s="9">
        <v>0</v>
      </c>
      <c r="R929" s="13">
        <v>41815</v>
      </c>
      <c r="S929" s="13">
        <v>41815</v>
      </c>
    </row>
    <row r="930" spans="1:19">
      <c r="A930" s="10">
        <v>2014</v>
      </c>
      <c r="B930" s="11" t="s">
        <v>483</v>
      </c>
      <c r="C930" s="11" t="s">
        <v>484</v>
      </c>
      <c r="D930" s="12">
        <v>1015042</v>
      </c>
      <c r="E930" s="12">
        <v>2</v>
      </c>
      <c r="F930" s="12"/>
      <c r="G930" s="12">
        <v>930</v>
      </c>
      <c r="H930" s="12" t="s">
        <v>133</v>
      </c>
      <c r="I930" s="12"/>
      <c r="J930" s="12" t="s">
        <v>134</v>
      </c>
      <c r="K930" s="12" t="b">
        <v>1</v>
      </c>
      <c r="L930" s="12">
        <v>2</v>
      </c>
      <c r="M930" s="8">
        <v>2016</v>
      </c>
      <c r="N930" s="9">
        <v>0</v>
      </c>
      <c r="O930" s="9">
        <v>0</v>
      </c>
      <c r="P930" s="9">
        <v>0</v>
      </c>
      <c r="Q930" s="9">
        <v>0</v>
      </c>
      <c r="R930" s="13">
        <v>41815</v>
      </c>
      <c r="S930" s="13">
        <v>41815</v>
      </c>
    </row>
    <row r="931" spans="1:19">
      <c r="A931" s="10">
        <v>2014</v>
      </c>
      <c r="B931" s="11" t="s">
        <v>483</v>
      </c>
      <c r="C931" s="11" t="s">
        <v>484</v>
      </c>
      <c r="D931" s="12">
        <v>1015042</v>
      </c>
      <c r="E931" s="12">
        <v>2</v>
      </c>
      <c r="F931" s="12"/>
      <c r="G931" s="12">
        <v>930</v>
      </c>
      <c r="H931" s="12" t="s">
        <v>133</v>
      </c>
      <c r="I931" s="12"/>
      <c r="J931" s="12" t="s">
        <v>134</v>
      </c>
      <c r="K931" s="12" t="b">
        <v>1</v>
      </c>
      <c r="L931" s="12">
        <v>0</v>
      </c>
      <c r="M931" s="8">
        <v>2014</v>
      </c>
      <c r="N931" s="9">
        <v>0</v>
      </c>
      <c r="O931" s="9">
        <v>0</v>
      </c>
      <c r="P931" s="9">
        <v>0</v>
      </c>
      <c r="Q931" s="9">
        <v>0</v>
      </c>
      <c r="R931" s="13">
        <v>41815</v>
      </c>
      <c r="S931" s="13">
        <v>41815</v>
      </c>
    </row>
    <row r="932" spans="1:19">
      <c r="A932" s="10">
        <v>2014</v>
      </c>
      <c r="B932" s="11" t="s">
        <v>483</v>
      </c>
      <c r="C932" s="11" t="s">
        <v>484</v>
      </c>
      <c r="D932" s="12">
        <v>1015042</v>
      </c>
      <c r="E932" s="12">
        <v>2</v>
      </c>
      <c r="F932" s="12"/>
      <c r="G932" s="12">
        <v>930</v>
      </c>
      <c r="H932" s="12" t="s">
        <v>133</v>
      </c>
      <c r="I932" s="12"/>
      <c r="J932" s="12" t="s">
        <v>134</v>
      </c>
      <c r="K932" s="12" t="b">
        <v>1</v>
      </c>
      <c r="L932" s="12">
        <v>7</v>
      </c>
      <c r="M932" s="8">
        <v>2021</v>
      </c>
      <c r="N932" s="9">
        <v>0</v>
      </c>
      <c r="O932" s="9">
        <v>0</v>
      </c>
      <c r="P932" s="9">
        <v>0</v>
      </c>
      <c r="Q932" s="9">
        <v>0</v>
      </c>
      <c r="R932" s="13">
        <v>41815</v>
      </c>
      <c r="S932" s="13">
        <v>41815</v>
      </c>
    </row>
    <row r="933" spans="1:19">
      <c r="A933" s="10">
        <v>2014</v>
      </c>
      <c r="B933" s="11" t="s">
        <v>483</v>
      </c>
      <c r="C933" s="11" t="s">
        <v>484</v>
      </c>
      <c r="D933" s="12">
        <v>1015042</v>
      </c>
      <c r="E933" s="12">
        <v>2</v>
      </c>
      <c r="F933" s="12"/>
      <c r="G933" s="12">
        <v>140</v>
      </c>
      <c r="H933" s="12" t="s">
        <v>59</v>
      </c>
      <c r="I933" s="12"/>
      <c r="J933" s="12" t="s">
        <v>60</v>
      </c>
      <c r="K933" s="12" t="b">
        <v>1</v>
      </c>
      <c r="L933" s="12">
        <v>6</v>
      </c>
      <c r="M933" s="8">
        <v>2020</v>
      </c>
      <c r="N933" s="9">
        <v>0</v>
      </c>
      <c r="O933" s="9">
        <v>0</v>
      </c>
      <c r="P933" s="9">
        <v>0</v>
      </c>
      <c r="Q933" s="9">
        <v>0</v>
      </c>
      <c r="R933" s="13">
        <v>41815</v>
      </c>
      <c r="S933" s="13">
        <v>41815</v>
      </c>
    </row>
    <row r="934" spans="1:19">
      <c r="A934" s="10">
        <v>2014</v>
      </c>
      <c r="B934" s="11" t="s">
        <v>483</v>
      </c>
      <c r="C934" s="11" t="s">
        <v>484</v>
      </c>
      <c r="D934" s="12">
        <v>1015042</v>
      </c>
      <c r="E934" s="12">
        <v>2</v>
      </c>
      <c r="F934" s="12"/>
      <c r="G934" s="12">
        <v>140</v>
      </c>
      <c r="H934" s="12" t="s">
        <v>59</v>
      </c>
      <c r="I934" s="12"/>
      <c r="J934" s="12" t="s">
        <v>60</v>
      </c>
      <c r="K934" s="12" t="b">
        <v>1</v>
      </c>
      <c r="L934" s="12">
        <v>2</v>
      </c>
      <c r="M934" s="8">
        <v>2016</v>
      </c>
      <c r="N934" s="9">
        <v>0</v>
      </c>
      <c r="O934" s="9">
        <v>0</v>
      </c>
      <c r="P934" s="9">
        <v>0</v>
      </c>
      <c r="Q934" s="9">
        <v>0</v>
      </c>
      <c r="R934" s="13">
        <v>41815</v>
      </c>
      <c r="S934" s="13">
        <v>41815</v>
      </c>
    </row>
    <row r="935" spans="1:19">
      <c r="A935" s="10">
        <v>2014</v>
      </c>
      <c r="B935" s="11" t="s">
        <v>483</v>
      </c>
      <c r="C935" s="11" t="s">
        <v>484</v>
      </c>
      <c r="D935" s="12">
        <v>1015042</v>
      </c>
      <c r="E935" s="12">
        <v>2</v>
      </c>
      <c r="F935" s="12"/>
      <c r="G935" s="12">
        <v>140</v>
      </c>
      <c r="H935" s="12" t="s">
        <v>59</v>
      </c>
      <c r="I935" s="12"/>
      <c r="J935" s="12" t="s">
        <v>60</v>
      </c>
      <c r="K935" s="12" t="b">
        <v>1</v>
      </c>
      <c r="L935" s="12">
        <v>3</v>
      </c>
      <c r="M935" s="8">
        <v>2017</v>
      </c>
      <c r="N935" s="9">
        <v>0</v>
      </c>
      <c r="O935" s="9">
        <v>0</v>
      </c>
      <c r="P935" s="9">
        <v>0</v>
      </c>
      <c r="Q935" s="9">
        <v>0</v>
      </c>
      <c r="R935" s="13">
        <v>41815</v>
      </c>
      <c r="S935" s="13">
        <v>41815</v>
      </c>
    </row>
    <row r="936" spans="1:19">
      <c r="A936" s="10">
        <v>2014</v>
      </c>
      <c r="B936" s="11" t="s">
        <v>483</v>
      </c>
      <c r="C936" s="11" t="s">
        <v>484</v>
      </c>
      <c r="D936" s="12">
        <v>1015042</v>
      </c>
      <c r="E936" s="12">
        <v>2</v>
      </c>
      <c r="F936" s="12"/>
      <c r="G936" s="12">
        <v>140</v>
      </c>
      <c r="H936" s="12" t="s">
        <v>59</v>
      </c>
      <c r="I936" s="12"/>
      <c r="J936" s="12" t="s">
        <v>60</v>
      </c>
      <c r="K936" s="12" t="b">
        <v>1</v>
      </c>
      <c r="L936" s="12">
        <v>8</v>
      </c>
      <c r="M936" s="8">
        <v>2022</v>
      </c>
      <c r="N936" s="9">
        <v>0</v>
      </c>
      <c r="O936" s="9">
        <v>0</v>
      </c>
      <c r="P936" s="9">
        <v>0</v>
      </c>
      <c r="Q936" s="9">
        <v>0</v>
      </c>
      <c r="R936" s="13">
        <v>41815</v>
      </c>
      <c r="S936" s="13">
        <v>41815</v>
      </c>
    </row>
    <row r="937" spans="1:19">
      <c r="A937" s="10">
        <v>2014</v>
      </c>
      <c r="B937" s="11" t="s">
        <v>483</v>
      </c>
      <c r="C937" s="11" t="s">
        <v>484</v>
      </c>
      <c r="D937" s="12">
        <v>1015042</v>
      </c>
      <c r="E937" s="12">
        <v>2</v>
      </c>
      <c r="F937" s="12"/>
      <c r="G937" s="12">
        <v>140</v>
      </c>
      <c r="H937" s="12" t="s">
        <v>59</v>
      </c>
      <c r="I937" s="12"/>
      <c r="J937" s="12" t="s">
        <v>60</v>
      </c>
      <c r="K937" s="12" t="b">
        <v>1</v>
      </c>
      <c r="L937" s="12">
        <v>4</v>
      </c>
      <c r="M937" s="8">
        <v>2018</v>
      </c>
      <c r="N937" s="9">
        <v>0</v>
      </c>
      <c r="O937" s="9">
        <v>0</v>
      </c>
      <c r="P937" s="9">
        <v>0</v>
      </c>
      <c r="Q937" s="9">
        <v>0</v>
      </c>
      <c r="R937" s="13">
        <v>41815</v>
      </c>
      <c r="S937" s="13">
        <v>41815</v>
      </c>
    </row>
    <row r="938" spans="1:19">
      <c r="A938" s="10">
        <v>2014</v>
      </c>
      <c r="B938" s="11" t="s">
        <v>483</v>
      </c>
      <c r="C938" s="11" t="s">
        <v>484</v>
      </c>
      <c r="D938" s="12">
        <v>1015042</v>
      </c>
      <c r="E938" s="12">
        <v>2</v>
      </c>
      <c r="F938" s="12"/>
      <c r="G938" s="12">
        <v>140</v>
      </c>
      <c r="H938" s="12" t="s">
        <v>59</v>
      </c>
      <c r="I938" s="12"/>
      <c r="J938" s="12" t="s">
        <v>60</v>
      </c>
      <c r="K938" s="12" t="b">
        <v>1</v>
      </c>
      <c r="L938" s="12">
        <v>5</v>
      </c>
      <c r="M938" s="8">
        <v>2019</v>
      </c>
      <c r="N938" s="9">
        <v>0</v>
      </c>
      <c r="O938" s="9">
        <v>0</v>
      </c>
      <c r="P938" s="9">
        <v>0</v>
      </c>
      <c r="Q938" s="9">
        <v>0</v>
      </c>
      <c r="R938" s="13">
        <v>41815</v>
      </c>
      <c r="S938" s="13">
        <v>41815</v>
      </c>
    </row>
    <row r="939" spans="1:19">
      <c r="A939" s="10">
        <v>2014</v>
      </c>
      <c r="B939" s="11" t="s">
        <v>483</v>
      </c>
      <c r="C939" s="11" t="s">
        <v>484</v>
      </c>
      <c r="D939" s="12">
        <v>1015042</v>
      </c>
      <c r="E939" s="12">
        <v>2</v>
      </c>
      <c r="F939" s="12"/>
      <c r="G939" s="12">
        <v>140</v>
      </c>
      <c r="H939" s="12" t="s">
        <v>59</v>
      </c>
      <c r="I939" s="12"/>
      <c r="J939" s="12" t="s">
        <v>60</v>
      </c>
      <c r="K939" s="12" t="b">
        <v>1</v>
      </c>
      <c r="L939" s="12">
        <v>0</v>
      </c>
      <c r="M939" s="8">
        <v>2014</v>
      </c>
      <c r="N939" s="9">
        <v>0</v>
      </c>
      <c r="O939" s="9">
        <v>0</v>
      </c>
      <c r="P939" s="9">
        <v>0</v>
      </c>
      <c r="Q939" s="9">
        <v>0</v>
      </c>
      <c r="R939" s="13">
        <v>41815</v>
      </c>
      <c r="S939" s="13">
        <v>41815</v>
      </c>
    </row>
    <row r="940" spans="1:19">
      <c r="A940" s="10">
        <v>2014</v>
      </c>
      <c r="B940" s="11" t="s">
        <v>483</v>
      </c>
      <c r="C940" s="11" t="s">
        <v>484</v>
      </c>
      <c r="D940" s="12">
        <v>1015042</v>
      </c>
      <c r="E940" s="12">
        <v>2</v>
      </c>
      <c r="F940" s="12"/>
      <c r="G940" s="12">
        <v>140</v>
      </c>
      <c r="H940" s="12" t="s">
        <v>59</v>
      </c>
      <c r="I940" s="12"/>
      <c r="J940" s="12" t="s">
        <v>60</v>
      </c>
      <c r="K940" s="12" t="b">
        <v>1</v>
      </c>
      <c r="L940" s="12">
        <v>7</v>
      </c>
      <c r="M940" s="8">
        <v>2021</v>
      </c>
      <c r="N940" s="9">
        <v>0</v>
      </c>
      <c r="O940" s="9">
        <v>0</v>
      </c>
      <c r="P940" s="9">
        <v>0</v>
      </c>
      <c r="Q940" s="9">
        <v>0</v>
      </c>
      <c r="R940" s="13">
        <v>41815</v>
      </c>
      <c r="S940" s="13">
        <v>41815</v>
      </c>
    </row>
    <row r="941" spans="1:19">
      <c r="A941" s="10">
        <v>2014</v>
      </c>
      <c r="B941" s="11" t="s">
        <v>483</v>
      </c>
      <c r="C941" s="11" t="s">
        <v>484</v>
      </c>
      <c r="D941" s="12">
        <v>1015042</v>
      </c>
      <c r="E941" s="12">
        <v>2</v>
      </c>
      <c r="F941" s="12"/>
      <c r="G941" s="12">
        <v>140</v>
      </c>
      <c r="H941" s="12" t="s">
        <v>59</v>
      </c>
      <c r="I941" s="12"/>
      <c r="J941" s="12" t="s">
        <v>60</v>
      </c>
      <c r="K941" s="12" t="b">
        <v>1</v>
      </c>
      <c r="L941" s="12">
        <v>1</v>
      </c>
      <c r="M941" s="8">
        <v>2015</v>
      </c>
      <c r="N941" s="9">
        <v>0</v>
      </c>
      <c r="O941" s="9">
        <v>0</v>
      </c>
      <c r="P941" s="9">
        <v>0</v>
      </c>
      <c r="Q941" s="9">
        <v>0</v>
      </c>
      <c r="R941" s="13">
        <v>41815</v>
      </c>
      <c r="S941" s="13">
        <v>41815</v>
      </c>
    </row>
    <row r="942" spans="1:19">
      <c r="A942" s="10">
        <v>2014</v>
      </c>
      <c r="B942" s="11" t="s">
        <v>483</v>
      </c>
      <c r="C942" s="11" t="s">
        <v>484</v>
      </c>
      <c r="D942" s="12">
        <v>1015042</v>
      </c>
      <c r="E942" s="12">
        <v>2</v>
      </c>
      <c r="F942" s="12"/>
      <c r="G942" s="12">
        <v>10</v>
      </c>
      <c r="H942" s="12">
        <v>1</v>
      </c>
      <c r="I942" s="12" t="s">
        <v>486</v>
      </c>
      <c r="J942" s="12" t="s">
        <v>24</v>
      </c>
      <c r="K942" s="12" t="b">
        <v>1</v>
      </c>
      <c r="L942" s="12">
        <v>2</v>
      </c>
      <c r="M942" s="8">
        <v>2016</v>
      </c>
      <c r="N942" s="9">
        <v>9675664.1099999994</v>
      </c>
      <c r="O942" s="9">
        <v>10139497.07</v>
      </c>
      <c r="P942" s="9">
        <v>9244413.9900000002</v>
      </c>
      <c r="Q942" s="9">
        <v>8789986.4900000002</v>
      </c>
      <c r="R942" s="13">
        <v>41815</v>
      </c>
      <c r="S942" s="13">
        <v>41815</v>
      </c>
    </row>
    <row r="943" spans="1:19">
      <c r="A943" s="10">
        <v>2014</v>
      </c>
      <c r="B943" s="11" t="s">
        <v>483</v>
      </c>
      <c r="C943" s="11" t="s">
        <v>484</v>
      </c>
      <c r="D943" s="12">
        <v>1015042</v>
      </c>
      <c r="E943" s="12">
        <v>2</v>
      </c>
      <c r="F943" s="12"/>
      <c r="G943" s="12">
        <v>10</v>
      </c>
      <c r="H943" s="12">
        <v>1</v>
      </c>
      <c r="I943" s="12" t="s">
        <v>486</v>
      </c>
      <c r="J943" s="12" t="s">
        <v>24</v>
      </c>
      <c r="K943" s="12" t="b">
        <v>1</v>
      </c>
      <c r="L943" s="12">
        <v>8</v>
      </c>
      <c r="M943" s="8">
        <v>2022</v>
      </c>
      <c r="N943" s="9">
        <v>9675664.1099999994</v>
      </c>
      <c r="O943" s="9">
        <v>10139497.07</v>
      </c>
      <c r="P943" s="9">
        <v>9244413.9900000002</v>
      </c>
      <c r="Q943" s="9">
        <v>8789986.4900000002</v>
      </c>
      <c r="R943" s="13">
        <v>41815</v>
      </c>
      <c r="S943" s="13">
        <v>41815</v>
      </c>
    </row>
    <row r="944" spans="1:19">
      <c r="A944" s="10">
        <v>2014</v>
      </c>
      <c r="B944" s="11" t="s">
        <v>483</v>
      </c>
      <c r="C944" s="11" t="s">
        <v>484</v>
      </c>
      <c r="D944" s="12">
        <v>1015042</v>
      </c>
      <c r="E944" s="12">
        <v>2</v>
      </c>
      <c r="F944" s="12"/>
      <c r="G944" s="12">
        <v>10</v>
      </c>
      <c r="H944" s="12">
        <v>1</v>
      </c>
      <c r="I944" s="12" t="s">
        <v>486</v>
      </c>
      <c r="J944" s="12" t="s">
        <v>24</v>
      </c>
      <c r="K944" s="12" t="b">
        <v>1</v>
      </c>
      <c r="L944" s="12">
        <v>1</v>
      </c>
      <c r="M944" s="8">
        <v>2015</v>
      </c>
      <c r="N944" s="9">
        <v>9675664.1099999994</v>
      </c>
      <c r="O944" s="9">
        <v>10139497.07</v>
      </c>
      <c r="P944" s="9">
        <v>9244413.9900000002</v>
      </c>
      <c r="Q944" s="9">
        <v>8789986.4900000002</v>
      </c>
      <c r="R944" s="13">
        <v>41815</v>
      </c>
      <c r="S944" s="13">
        <v>41815</v>
      </c>
    </row>
    <row r="945" spans="1:19">
      <c r="A945" s="10">
        <v>2014</v>
      </c>
      <c r="B945" s="11" t="s">
        <v>483</v>
      </c>
      <c r="C945" s="11" t="s">
        <v>484</v>
      </c>
      <c r="D945" s="12">
        <v>1015042</v>
      </c>
      <c r="E945" s="12">
        <v>2</v>
      </c>
      <c r="F945" s="12"/>
      <c r="G945" s="12">
        <v>10</v>
      </c>
      <c r="H945" s="12">
        <v>1</v>
      </c>
      <c r="I945" s="12" t="s">
        <v>486</v>
      </c>
      <c r="J945" s="12" t="s">
        <v>24</v>
      </c>
      <c r="K945" s="12" t="b">
        <v>1</v>
      </c>
      <c r="L945" s="12">
        <v>6</v>
      </c>
      <c r="M945" s="8">
        <v>2020</v>
      </c>
      <c r="N945" s="9">
        <v>9675664.1099999994</v>
      </c>
      <c r="O945" s="9">
        <v>10139497.07</v>
      </c>
      <c r="P945" s="9">
        <v>9244413.9900000002</v>
      </c>
      <c r="Q945" s="9">
        <v>8789986.4900000002</v>
      </c>
      <c r="R945" s="13">
        <v>41815</v>
      </c>
      <c r="S945" s="13">
        <v>41815</v>
      </c>
    </row>
    <row r="946" spans="1:19">
      <c r="A946" s="10">
        <v>2014</v>
      </c>
      <c r="B946" s="11" t="s">
        <v>483</v>
      </c>
      <c r="C946" s="11" t="s">
        <v>484</v>
      </c>
      <c r="D946" s="12">
        <v>1015042</v>
      </c>
      <c r="E946" s="12">
        <v>2</v>
      </c>
      <c r="F946" s="12"/>
      <c r="G946" s="12">
        <v>10</v>
      </c>
      <c r="H946" s="12">
        <v>1</v>
      </c>
      <c r="I946" s="12" t="s">
        <v>486</v>
      </c>
      <c r="J946" s="12" t="s">
        <v>24</v>
      </c>
      <c r="K946" s="12" t="b">
        <v>1</v>
      </c>
      <c r="L946" s="12">
        <v>0</v>
      </c>
      <c r="M946" s="8">
        <v>2014</v>
      </c>
      <c r="N946" s="9">
        <v>9675664.1099999994</v>
      </c>
      <c r="O946" s="9">
        <v>10139497.07</v>
      </c>
      <c r="P946" s="9">
        <v>9244413.9900000002</v>
      </c>
      <c r="Q946" s="9">
        <v>8789986.4900000002</v>
      </c>
      <c r="R946" s="13">
        <v>41815</v>
      </c>
      <c r="S946" s="13">
        <v>41815</v>
      </c>
    </row>
    <row r="947" spans="1:19">
      <c r="A947" s="10">
        <v>2014</v>
      </c>
      <c r="B947" s="11" t="s">
        <v>483</v>
      </c>
      <c r="C947" s="11" t="s">
        <v>484</v>
      </c>
      <c r="D947" s="12">
        <v>1015042</v>
      </c>
      <c r="E947" s="12">
        <v>2</v>
      </c>
      <c r="F947" s="12"/>
      <c r="G947" s="12">
        <v>10</v>
      </c>
      <c r="H947" s="12">
        <v>1</v>
      </c>
      <c r="I947" s="12" t="s">
        <v>486</v>
      </c>
      <c r="J947" s="12" t="s">
        <v>24</v>
      </c>
      <c r="K947" s="12" t="b">
        <v>1</v>
      </c>
      <c r="L947" s="12">
        <v>3</v>
      </c>
      <c r="M947" s="8">
        <v>2017</v>
      </c>
      <c r="N947" s="9">
        <v>9675664.1099999994</v>
      </c>
      <c r="O947" s="9">
        <v>10139497.07</v>
      </c>
      <c r="P947" s="9">
        <v>9244413.9900000002</v>
      </c>
      <c r="Q947" s="9">
        <v>8789986.4900000002</v>
      </c>
      <c r="R947" s="13">
        <v>41815</v>
      </c>
      <c r="S947" s="13">
        <v>41815</v>
      </c>
    </row>
    <row r="948" spans="1:19">
      <c r="A948" s="10">
        <v>2014</v>
      </c>
      <c r="B948" s="11" t="s">
        <v>483</v>
      </c>
      <c r="C948" s="11" t="s">
        <v>484</v>
      </c>
      <c r="D948" s="12">
        <v>1015042</v>
      </c>
      <c r="E948" s="12">
        <v>2</v>
      </c>
      <c r="F948" s="12"/>
      <c r="G948" s="12">
        <v>10</v>
      </c>
      <c r="H948" s="12">
        <v>1</v>
      </c>
      <c r="I948" s="12" t="s">
        <v>486</v>
      </c>
      <c r="J948" s="12" t="s">
        <v>24</v>
      </c>
      <c r="K948" s="12" t="b">
        <v>1</v>
      </c>
      <c r="L948" s="12">
        <v>4</v>
      </c>
      <c r="M948" s="8">
        <v>2018</v>
      </c>
      <c r="N948" s="9">
        <v>9675664.1099999994</v>
      </c>
      <c r="O948" s="9">
        <v>10139497.07</v>
      </c>
      <c r="P948" s="9">
        <v>9244413.9900000002</v>
      </c>
      <c r="Q948" s="9">
        <v>8789986.4900000002</v>
      </c>
      <c r="R948" s="13">
        <v>41815</v>
      </c>
      <c r="S948" s="13">
        <v>41815</v>
      </c>
    </row>
  </sheetData>
  <customSheetViews>
    <customSheetView guid="{9360F695-77C0-4418-82C5-829A762C44E9}" state="hidden">
      <selection activeCell="A4" sqref="A4"/>
      <pageMargins left="0.7" right="0.7" top="0.75" bottom="0.75" header="0.3" footer="0.3"/>
      <pageSetup paperSize="9" orientation="portrait" horizontalDpi="4294967293" verticalDpi="0" r:id="rId1"/>
    </customSheetView>
  </customSheetView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3</vt:i4>
      </vt:variant>
    </vt:vector>
  </HeadingPairs>
  <TitlesOfParts>
    <vt:vector size="9" baseType="lpstr">
      <vt:lpstr>Zał.1_WPF_bazowy</vt:lpstr>
      <vt:lpstr>WPF_AnalizaWsk_ProjektowanieJST</vt:lpstr>
      <vt:lpstr>definicja</vt:lpstr>
      <vt:lpstr>rysunki</vt:lpstr>
      <vt:lpstr>DaneZrodlowe</vt:lpstr>
      <vt:lpstr>DaneZrodloweDoWsk</vt:lpstr>
      <vt:lpstr>WPF_AnalizaWsk_ProjektowanieJST!Obszar_wydruku</vt:lpstr>
      <vt:lpstr>Zał.1_WPF_bazowy!Obszar_wydruku</vt:lpstr>
      <vt:lpstr>Zał.1_WPF_bazowy!Tytuły_wydruku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Klupczyński</dc:creator>
  <cp:lastModifiedBy>Heleniak Beata</cp:lastModifiedBy>
  <cp:lastPrinted>2014-08-29T07:16:37Z</cp:lastPrinted>
  <dcterms:created xsi:type="dcterms:W3CDTF">2010-09-17T02:30:46Z</dcterms:created>
  <dcterms:modified xsi:type="dcterms:W3CDTF">2014-08-29T07:23:11Z</dcterms:modified>
</cp:coreProperties>
</file>