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5480" windowHeight="8670" tabRatio="688"/>
  </bookViews>
  <sheets>
    <sheet name="Zal_1_WPF_uklad_budzetu" sheetId="12" r:id="rId1"/>
    <sheet name="Zal_1_WPF_wg_przeplywow" sheetId="1" r:id="rId2"/>
    <sheet name="definicja" sheetId="8" state="hidden" r:id="rId3"/>
    <sheet name="DaneZrodlowe" sheetId="9" r:id="rId4"/>
  </sheets>
  <definedNames>
    <definedName name="_xlnm.Print_Area" localSheetId="1">Zal_1_WPF_wg_przeplywow!$C$7:$AO$69</definedName>
    <definedName name="_xlnm.Print_Titles" localSheetId="0">Zal_1_WPF_uklad_budzetu!$A:$B,Zal_1_WPF_uklad_budzetu!$3:$3</definedName>
    <definedName name="_xlnm.Print_Titles" localSheetId="1">Zal_1_WPF_wg_przeplywow!$A:$B,Zal_1_WPF_wg_przeplywow!$5:$6</definedName>
  </definedNames>
  <calcPr calcId="125725"/>
  <fileRecoveryPr autoRecover="0"/>
</workbook>
</file>

<file path=xl/calcChain.xml><?xml version="1.0" encoding="utf-8"?>
<calcChain xmlns="http://schemas.openxmlformats.org/spreadsheetml/2006/main">
  <c r="F30" i="12"/>
  <c r="F29"/>
  <c r="F23"/>
  <c r="F22"/>
  <c r="F18"/>
  <c r="F17"/>
  <c r="F16"/>
  <c r="F15"/>
  <c r="F12"/>
  <c r="F11"/>
  <c r="F9"/>
  <c r="F8"/>
  <c r="F7"/>
  <c r="F5"/>
  <c r="D52"/>
  <c r="D39"/>
  <c r="D34"/>
  <c r="D33"/>
  <c r="D31"/>
  <c r="D27"/>
  <c r="D24"/>
  <c r="D14"/>
  <c r="D13"/>
  <c r="D10"/>
  <c r="D21"/>
  <c r="D6"/>
  <c r="D20" l="1"/>
  <c r="D43"/>
  <c r="D45"/>
  <c r="D4"/>
  <c r="D19" s="1"/>
  <c r="AO66" i="1" l="1"/>
  <c r="AO65"/>
  <c r="AO64"/>
  <c r="AO63"/>
  <c r="AO62"/>
  <c r="AO58"/>
  <c r="AO57"/>
  <c r="AO56"/>
  <c r="AO54"/>
  <c r="AO52"/>
  <c r="AO51"/>
  <c r="AO50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N66"/>
  <c r="AN65"/>
  <c r="AN64"/>
  <c r="AN63"/>
  <c r="AN62"/>
  <c r="AN58"/>
  <c r="AN57"/>
  <c r="AN56"/>
  <c r="AN54"/>
  <c r="AN52"/>
  <c r="AN51"/>
  <c r="AN50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M66"/>
  <c r="AM65"/>
  <c r="AM64"/>
  <c r="AM63"/>
  <c r="AM62"/>
  <c r="AM58"/>
  <c r="AM57"/>
  <c r="AM56"/>
  <c r="AM54"/>
  <c r="AM52"/>
  <c r="AM51"/>
  <c r="AM50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L66"/>
  <c r="AL65"/>
  <c r="AL64"/>
  <c r="AL63"/>
  <c r="AL62"/>
  <c r="AL58"/>
  <c r="AL57"/>
  <c r="AL56"/>
  <c r="AL54"/>
  <c r="AL52"/>
  <c r="AL51"/>
  <c r="AL50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K66"/>
  <c r="AK65"/>
  <c r="AK64"/>
  <c r="AK63"/>
  <c r="AK62"/>
  <c r="AK58"/>
  <c r="AK57"/>
  <c r="AK56"/>
  <c r="AK54"/>
  <c r="AK52"/>
  <c r="AK51"/>
  <c r="AK50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J66"/>
  <c r="AJ65"/>
  <c r="AJ64"/>
  <c r="AJ63"/>
  <c r="AJ62"/>
  <c r="AJ58"/>
  <c r="AJ57"/>
  <c r="AJ56"/>
  <c r="AJ54"/>
  <c r="AJ52"/>
  <c r="AJ51"/>
  <c r="AJ50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I66"/>
  <c r="AI65"/>
  <c r="AI64"/>
  <c r="AI63"/>
  <c r="AI62"/>
  <c r="AI58"/>
  <c r="AI57"/>
  <c r="AI56"/>
  <c r="AI54"/>
  <c r="AI52"/>
  <c r="AI51"/>
  <c r="AI50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H66"/>
  <c r="AH65"/>
  <c r="AH64"/>
  <c r="AH63"/>
  <c r="AH62"/>
  <c r="AH58"/>
  <c r="AH57"/>
  <c r="AH56"/>
  <c r="AH54"/>
  <c r="AH52"/>
  <c r="AH51"/>
  <c r="AH50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G66"/>
  <c r="AG65"/>
  <c r="AG64"/>
  <c r="AG63"/>
  <c r="AG62"/>
  <c r="AG58"/>
  <c r="AG57"/>
  <c r="AG56"/>
  <c r="AG54"/>
  <c r="AG52"/>
  <c r="AG51"/>
  <c r="AG50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F66"/>
  <c r="AF65"/>
  <c r="AF64"/>
  <c r="AF63"/>
  <c r="AF62"/>
  <c r="AF58"/>
  <c r="AF57"/>
  <c r="AF56"/>
  <c r="AF54"/>
  <c r="AF52"/>
  <c r="AF51"/>
  <c r="AF50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E66"/>
  <c r="AE65"/>
  <c r="AE64"/>
  <c r="AE63"/>
  <c r="AE62"/>
  <c r="AE58"/>
  <c r="AE57"/>
  <c r="AE56"/>
  <c r="AE54"/>
  <c r="AE52"/>
  <c r="AE51"/>
  <c r="AE50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D66"/>
  <c r="AD65"/>
  <c r="AD64"/>
  <c r="AD63"/>
  <c r="AD62"/>
  <c r="AD58"/>
  <c r="AD57"/>
  <c r="AD56"/>
  <c r="AD54"/>
  <c r="AD52"/>
  <c r="AD51"/>
  <c r="AD50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C66"/>
  <c r="AC65"/>
  <c r="AC64"/>
  <c r="AC63"/>
  <c r="AC62"/>
  <c r="AC58"/>
  <c r="AC57"/>
  <c r="AC56"/>
  <c r="AC54"/>
  <c r="AC52"/>
  <c r="AC51"/>
  <c r="AC50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B66"/>
  <c r="AB65"/>
  <c r="AB64"/>
  <c r="AB63"/>
  <c r="AB62"/>
  <c r="AB58"/>
  <c r="AB57"/>
  <c r="AB56"/>
  <c r="AB54"/>
  <c r="AB52"/>
  <c r="AB51"/>
  <c r="AB50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A66"/>
  <c r="AA65"/>
  <c r="AA64"/>
  <c r="AA63"/>
  <c r="AA62"/>
  <c r="AA58"/>
  <c r="AA57"/>
  <c r="AA56"/>
  <c r="AA54"/>
  <c r="AA52"/>
  <c r="AA51"/>
  <c r="AA50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Z66"/>
  <c r="Z65"/>
  <c r="Z64"/>
  <c r="Z63"/>
  <c r="Z62"/>
  <c r="Z58"/>
  <c r="Z57"/>
  <c r="Z56"/>
  <c r="Z54"/>
  <c r="Z52"/>
  <c r="Z51"/>
  <c r="Z50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Y66"/>
  <c r="Y65"/>
  <c r="Y64"/>
  <c r="Y63"/>
  <c r="Y62"/>
  <c r="Y58"/>
  <c r="Y57"/>
  <c r="Y56"/>
  <c r="Y54"/>
  <c r="Y52"/>
  <c r="Y51"/>
  <c r="Y50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X66"/>
  <c r="X65"/>
  <c r="X64"/>
  <c r="X63"/>
  <c r="X62"/>
  <c r="X58"/>
  <c r="X57"/>
  <c r="X56"/>
  <c r="X54"/>
  <c r="X52"/>
  <c r="X51"/>
  <c r="X50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W66"/>
  <c r="W65"/>
  <c r="W64"/>
  <c r="W63"/>
  <c r="W62"/>
  <c r="W58"/>
  <c r="W57"/>
  <c r="W56"/>
  <c r="W54"/>
  <c r="W52"/>
  <c r="W51"/>
  <c r="W50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V66"/>
  <c r="V65"/>
  <c r="V64"/>
  <c r="V63"/>
  <c r="V62"/>
  <c r="V58"/>
  <c r="V57"/>
  <c r="V56"/>
  <c r="V54"/>
  <c r="V52"/>
  <c r="V51"/>
  <c r="V50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U66"/>
  <c r="U65"/>
  <c r="U64"/>
  <c r="U63"/>
  <c r="U62"/>
  <c r="U58"/>
  <c r="U57"/>
  <c r="U56"/>
  <c r="U54"/>
  <c r="U52"/>
  <c r="U51"/>
  <c r="U50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T66"/>
  <c r="T65"/>
  <c r="T64"/>
  <c r="T63"/>
  <c r="T62"/>
  <c r="T58"/>
  <c r="T57"/>
  <c r="T56"/>
  <c r="T54"/>
  <c r="T52"/>
  <c r="T51"/>
  <c r="T50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S66"/>
  <c r="S65"/>
  <c r="S64"/>
  <c r="S63"/>
  <c r="S62"/>
  <c r="S58"/>
  <c r="S57"/>
  <c r="S56"/>
  <c r="S54"/>
  <c r="S52"/>
  <c r="S51"/>
  <c r="S50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R66"/>
  <c r="R65"/>
  <c r="R64"/>
  <c r="R63"/>
  <c r="R62"/>
  <c r="R58"/>
  <c r="R57"/>
  <c r="R56"/>
  <c r="R54"/>
  <c r="R52"/>
  <c r="R51"/>
  <c r="R50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Q66"/>
  <c r="Q65"/>
  <c r="Q64"/>
  <c r="Q63"/>
  <c r="Q62"/>
  <c r="Q58"/>
  <c r="Q57"/>
  <c r="Q56"/>
  <c r="Q54"/>
  <c r="Q52"/>
  <c r="Q51"/>
  <c r="Q50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66"/>
  <c r="P65"/>
  <c r="P64"/>
  <c r="P63"/>
  <c r="P62"/>
  <c r="P58"/>
  <c r="P57"/>
  <c r="P56"/>
  <c r="P54"/>
  <c r="P52"/>
  <c r="P51"/>
  <c r="P50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66"/>
  <c r="O65"/>
  <c r="O64"/>
  <c r="O63"/>
  <c r="O62"/>
  <c r="O58"/>
  <c r="O57"/>
  <c r="O56"/>
  <c r="O54"/>
  <c r="O52"/>
  <c r="O51"/>
  <c r="O50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66"/>
  <c r="N65"/>
  <c r="N64"/>
  <c r="N63"/>
  <c r="N62"/>
  <c r="N58"/>
  <c r="N57"/>
  <c r="N56"/>
  <c r="N54"/>
  <c r="N52"/>
  <c r="N51"/>
  <c r="N5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M66"/>
  <c r="M65"/>
  <c r="M64"/>
  <c r="M63"/>
  <c r="M62"/>
  <c r="M58"/>
  <c r="M57"/>
  <c r="M56"/>
  <c r="M54"/>
  <c r="M52"/>
  <c r="M51"/>
  <c r="M50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L66"/>
  <c r="L65"/>
  <c r="L64"/>
  <c r="L63"/>
  <c r="L62"/>
  <c r="L58"/>
  <c r="L57"/>
  <c r="L56"/>
  <c r="L54"/>
  <c r="L52"/>
  <c r="L51"/>
  <c r="L50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K66"/>
  <c r="K65"/>
  <c r="K64"/>
  <c r="K63"/>
  <c r="K62"/>
  <c r="K58"/>
  <c r="K57"/>
  <c r="K56"/>
  <c r="K54"/>
  <c r="K52"/>
  <c r="K51"/>
  <c r="K50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66"/>
  <c r="J65"/>
  <c r="J64"/>
  <c r="J63"/>
  <c r="J62"/>
  <c r="J58"/>
  <c r="J57"/>
  <c r="J56"/>
  <c r="J54"/>
  <c r="J52"/>
  <c r="J51"/>
  <c r="J50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I66"/>
  <c r="I65"/>
  <c r="I64"/>
  <c r="I63"/>
  <c r="I62"/>
  <c r="I58"/>
  <c r="I57"/>
  <c r="I56"/>
  <c r="I54"/>
  <c r="I52"/>
  <c r="I51"/>
  <c r="I50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66"/>
  <c r="H65"/>
  <c r="H64"/>
  <c r="H63"/>
  <c r="H62"/>
  <c r="H58"/>
  <c r="H57"/>
  <c r="H56"/>
  <c r="H54"/>
  <c r="H52"/>
  <c r="H51"/>
  <c r="H50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66"/>
  <c r="G65"/>
  <c r="G64"/>
  <c r="G63"/>
  <c r="G62"/>
  <c r="G58"/>
  <c r="G57"/>
  <c r="G56"/>
  <c r="G54"/>
  <c r="G52"/>
  <c r="G51"/>
  <c r="G50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66"/>
  <c r="F65"/>
  <c r="F64"/>
  <c r="F63"/>
  <c r="F62"/>
  <c r="F58"/>
  <c r="F57"/>
  <c r="F56"/>
  <c r="F54"/>
  <c r="F52"/>
  <c r="F51"/>
  <c r="F50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66"/>
  <c r="E65"/>
  <c r="E64"/>
  <c r="E63"/>
  <c r="E62"/>
  <c r="E58"/>
  <c r="E57"/>
  <c r="E56"/>
  <c r="E54"/>
  <c r="E52"/>
  <c r="E51"/>
  <c r="E50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66"/>
  <c r="D65"/>
  <c r="D64"/>
  <c r="D63"/>
  <c r="D62"/>
  <c r="D58"/>
  <c r="D57"/>
  <c r="D56"/>
  <c r="D54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66"/>
  <c r="C65"/>
  <c r="C64"/>
  <c r="C63"/>
  <c r="C62"/>
  <c r="C58"/>
  <c r="C57"/>
  <c r="C56"/>
  <c r="C54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M1" i="9"/>
  <c r="AH60" i="8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D3" i="1"/>
  <c r="AF60" i="8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E32"/>
  <c r="D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D1" i="1"/>
  <c r="D2"/>
  <c r="L31" i="8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L4"/>
  <c r="K4"/>
  <c r="J4"/>
  <c r="I4"/>
  <c r="H4"/>
  <c r="G4"/>
  <c r="F4"/>
  <c r="E4"/>
  <c r="D4"/>
  <c r="AH4"/>
  <c r="AH8"/>
  <c r="AH12"/>
  <c r="AH16"/>
  <c r="AH20"/>
  <c r="AH24"/>
  <c r="AH28"/>
  <c r="AH32"/>
  <c r="AH36"/>
  <c r="AH40"/>
  <c r="AH44"/>
  <c r="AH48"/>
  <c r="AH52"/>
  <c r="AH56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25"/>
  <c r="AH23"/>
  <c r="AH21"/>
  <c r="AH19"/>
  <c r="AH17"/>
  <c r="AH15"/>
  <c r="AH13"/>
  <c r="AH11"/>
  <c r="AH9"/>
  <c r="AH7"/>
  <c r="AH5"/>
  <c r="AH6"/>
  <c r="AH10"/>
  <c r="AH14"/>
  <c r="AH18"/>
  <c r="AH22"/>
  <c r="AH26"/>
  <c r="AH30"/>
  <c r="AH34"/>
  <c r="AH38"/>
  <c r="AH42"/>
  <c r="AH46"/>
  <c r="AH50"/>
  <c r="AH54"/>
  <c r="AH58"/>
  <c r="AI60"/>
  <c r="AI58"/>
  <c r="AI56"/>
  <c r="AI54"/>
  <c r="AI52"/>
  <c r="AI50"/>
  <c r="AI48"/>
  <c r="AI46"/>
  <c r="AI44"/>
  <c r="AI42"/>
  <c r="AI40"/>
  <c r="AI38"/>
  <c r="AI36"/>
  <c r="AI34"/>
  <c r="AI32"/>
  <c r="AI30"/>
  <c r="AI28"/>
  <c r="AI26"/>
  <c r="AI24"/>
  <c r="AI22"/>
  <c r="AI20"/>
  <c r="AI18"/>
  <c r="AI16"/>
  <c r="AI14"/>
  <c r="AI12"/>
  <c r="AI10"/>
  <c r="AI8"/>
  <c r="AI6"/>
  <c r="AI4"/>
  <c r="AI57"/>
  <c r="AI53"/>
  <c r="AI49"/>
  <c r="AI45"/>
  <c r="AI41"/>
  <c r="AI37"/>
  <c r="AI33"/>
  <c r="AI29"/>
  <c r="AI25"/>
  <c r="AI21"/>
  <c r="AI17"/>
  <c r="AI13"/>
  <c r="AI9"/>
  <c r="AI5"/>
  <c r="AI59"/>
  <c r="AI55"/>
  <c r="AI51"/>
  <c r="AI47"/>
  <c r="AI43"/>
  <c r="AI39"/>
  <c r="AI35"/>
  <c r="AI31"/>
  <c r="AI27"/>
  <c r="AI23"/>
  <c r="AI19"/>
  <c r="AI15"/>
  <c r="AI11"/>
  <c r="AI7"/>
  <c r="AJ59"/>
  <c r="AJ57"/>
  <c r="AJ55"/>
  <c r="AJ53"/>
  <c r="AJ51"/>
  <c r="AJ49"/>
  <c r="AJ47"/>
  <c r="AJ45"/>
  <c r="AJ43"/>
  <c r="AJ41"/>
  <c r="AJ39"/>
  <c r="AJ37"/>
  <c r="AJ35"/>
  <c r="AJ33"/>
  <c r="AJ31"/>
  <c r="AJ29"/>
  <c r="AJ27"/>
  <c r="AJ25"/>
  <c r="AJ23"/>
  <c r="AJ21"/>
  <c r="AJ19"/>
  <c r="AJ17"/>
  <c r="AJ15"/>
  <c r="AJ13"/>
  <c r="AJ11"/>
  <c r="AJ9"/>
  <c r="AJ7"/>
  <c r="AJ5"/>
  <c r="AJ60"/>
  <c r="AJ56"/>
  <c r="AJ52"/>
  <c r="AJ48"/>
  <c r="AJ44"/>
  <c r="AJ40"/>
  <c r="AJ36"/>
  <c r="AJ32"/>
  <c r="AJ28"/>
  <c r="AJ24"/>
  <c r="AJ20"/>
  <c r="AJ16"/>
  <c r="AJ12"/>
  <c r="AJ8"/>
  <c r="AJ4"/>
  <c r="AJ58"/>
  <c r="AJ54"/>
  <c r="AJ50"/>
  <c r="AJ46"/>
  <c r="AJ42"/>
  <c r="AJ38"/>
  <c r="AJ34"/>
  <c r="AJ30"/>
  <c r="AJ26"/>
  <c r="AJ22"/>
  <c r="AJ18"/>
  <c r="AJ14"/>
  <c r="AJ10"/>
  <c r="AJ6"/>
  <c r="AK60"/>
  <c r="AK58"/>
  <c r="AK56"/>
  <c r="AK54"/>
  <c r="AK52"/>
  <c r="AK50"/>
  <c r="AK48"/>
  <c r="AK46"/>
  <c r="AK44"/>
  <c r="AK42"/>
  <c r="AK40"/>
  <c r="AK38"/>
  <c r="AK36"/>
  <c r="AK34"/>
  <c r="AK32"/>
  <c r="AK30"/>
  <c r="AK28"/>
  <c r="AK26"/>
  <c r="AK24"/>
  <c r="AK22"/>
  <c r="AK20"/>
  <c r="AK18"/>
  <c r="AK16"/>
  <c r="AK14"/>
  <c r="AK12"/>
  <c r="AK10"/>
  <c r="AK8"/>
  <c r="AK6"/>
  <c r="AK4"/>
  <c r="AK59"/>
  <c r="AK55"/>
  <c r="AK51"/>
  <c r="AK47"/>
  <c r="AK43"/>
  <c r="AK39"/>
  <c r="AK35"/>
  <c r="AK31"/>
  <c r="AK27"/>
  <c r="AK23"/>
  <c r="AK19"/>
  <c r="AK15"/>
  <c r="AK11"/>
  <c r="AK7"/>
  <c r="AK57"/>
  <c r="AK53"/>
  <c r="AK49"/>
  <c r="AK45"/>
  <c r="AK41"/>
  <c r="AK37"/>
  <c r="AK33"/>
  <c r="AK29"/>
  <c r="AK25"/>
  <c r="AK21"/>
  <c r="AK17"/>
  <c r="AK13"/>
  <c r="AK9"/>
  <c r="AK5"/>
  <c r="AL59"/>
  <c r="AL57"/>
  <c r="AL55"/>
  <c r="AL53"/>
  <c r="AL51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L7"/>
  <c r="AL5"/>
  <c r="AL58"/>
  <c r="AL54"/>
  <c r="AL50"/>
  <c r="AL46"/>
  <c r="AL42"/>
  <c r="AL38"/>
  <c r="AL34"/>
  <c r="AL30"/>
  <c r="AL26"/>
  <c r="AL22"/>
  <c r="AL18"/>
  <c r="AL14"/>
  <c r="AL10"/>
  <c r="AL6"/>
  <c r="AL60"/>
  <c r="AL56"/>
  <c r="AL52"/>
  <c r="AL48"/>
  <c r="AL44"/>
  <c r="AL40"/>
  <c r="AL36"/>
  <c r="AL32"/>
  <c r="AL28"/>
  <c r="AL24"/>
  <c r="AL20"/>
  <c r="AL16"/>
  <c r="AL12"/>
  <c r="AL8"/>
  <c r="AL4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6"/>
  <c r="AM4"/>
  <c r="AM57"/>
  <c r="AM53"/>
  <c r="AM49"/>
  <c r="AM45"/>
  <c r="AM41"/>
  <c r="AM37"/>
  <c r="AM33"/>
  <c r="AM29"/>
  <c r="AM25"/>
  <c r="AM21"/>
  <c r="AM17"/>
  <c r="AM13"/>
  <c r="AM9"/>
  <c r="AM5"/>
  <c r="AM59"/>
  <c r="AM55"/>
  <c r="AM51"/>
  <c r="AM47"/>
  <c r="AM43"/>
  <c r="AM39"/>
  <c r="AM35"/>
  <c r="AM31"/>
  <c r="AM27"/>
  <c r="AM23"/>
  <c r="AM19"/>
  <c r="AM15"/>
  <c r="AM11"/>
  <c r="AM7"/>
  <c r="AN59"/>
  <c r="AN57"/>
  <c r="AN55"/>
  <c r="AN53"/>
  <c r="AN51"/>
  <c r="AN49"/>
  <c r="AN47"/>
  <c r="AN45"/>
  <c r="AN43"/>
  <c r="AN41"/>
  <c r="AN39"/>
  <c r="AN37"/>
  <c r="AN35"/>
  <c r="AN33"/>
  <c r="AN31"/>
  <c r="AN29"/>
  <c r="AN27"/>
  <c r="AN25"/>
  <c r="AN23"/>
  <c r="AN21"/>
  <c r="AN19"/>
  <c r="AN17"/>
  <c r="AN15"/>
  <c r="AN13"/>
  <c r="AN11"/>
  <c r="AN9"/>
  <c r="AN7"/>
  <c r="AN5"/>
  <c r="AN60"/>
  <c r="AN56"/>
  <c r="AN52"/>
  <c r="AN48"/>
  <c r="AN44"/>
  <c r="AN40"/>
  <c r="AN36"/>
  <c r="AN32"/>
  <c r="AN28"/>
  <c r="AN24"/>
  <c r="AN20"/>
  <c r="AN16"/>
  <c r="AN12"/>
  <c r="AN8"/>
  <c r="AN4"/>
  <c r="AN58"/>
  <c r="AN54"/>
  <c r="AN50"/>
  <c r="AN46"/>
  <c r="AN42"/>
  <c r="AN38"/>
  <c r="AN34"/>
  <c r="AN30"/>
  <c r="AN26"/>
  <c r="AN22"/>
  <c r="AN18"/>
  <c r="AN14"/>
  <c r="AN10"/>
  <c r="AN6"/>
  <c r="AO60"/>
  <c r="AO58"/>
  <c r="AO56"/>
  <c r="AO54"/>
  <c r="AO52"/>
  <c r="AO50"/>
  <c r="AO48"/>
  <c r="AO46"/>
  <c r="AO44"/>
  <c r="AO42"/>
  <c r="AO40"/>
  <c r="AO38"/>
  <c r="AO36"/>
  <c r="AO34"/>
  <c r="AO32"/>
  <c r="AO30"/>
  <c r="AO28"/>
  <c r="AO26"/>
  <c r="AO24"/>
  <c r="AO22"/>
  <c r="AO20"/>
  <c r="AO18"/>
  <c r="AO16"/>
  <c r="AO14"/>
  <c r="AO12"/>
  <c r="AO10"/>
  <c r="AO8"/>
  <c r="AO6"/>
  <c r="AO4"/>
  <c r="AO59"/>
  <c r="AO55"/>
  <c r="AO51"/>
  <c r="AO47"/>
  <c r="AO43"/>
  <c r="AO39"/>
  <c r="AO35"/>
  <c r="AO31"/>
  <c r="AO27"/>
  <c r="AO23"/>
  <c r="AO19"/>
  <c r="AO15"/>
  <c r="AO11"/>
  <c r="AO7"/>
  <c r="AO57"/>
  <c r="AO53"/>
  <c r="AO49"/>
  <c r="AO45"/>
  <c r="AO41"/>
  <c r="AO37"/>
  <c r="AO33"/>
  <c r="AO29"/>
  <c r="AO25"/>
  <c r="AO21"/>
  <c r="AO17"/>
  <c r="AO13"/>
  <c r="AO9"/>
  <c r="AO5"/>
  <c r="AP59"/>
  <c r="AP57"/>
  <c r="AP55"/>
  <c r="AP53"/>
  <c r="AP51"/>
  <c r="AP49"/>
  <c r="AP47"/>
  <c r="AP45"/>
  <c r="AP43"/>
  <c r="AP41"/>
  <c r="AP39"/>
  <c r="AP37"/>
  <c r="AP35"/>
  <c r="AP33"/>
  <c r="AP31"/>
  <c r="AP29"/>
  <c r="AP27"/>
  <c r="AP25"/>
  <c r="AP23"/>
  <c r="AP21"/>
  <c r="AP19"/>
  <c r="AP17"/>
  <c r="AP15"/>
  <c r="AP13"/>
  <c r="AP11"/>
  <c r="AP9"/>
  <c r="AP7"/>
  <c r="AP5"/>
  <c r="AP58"/>
  <c r="AP54"/>
  <c r="AP50"/>
  <c r="AP46"/>
  <c r="AP42"/>
  <c r="AP38"/>
  <c r="AP34"/>
  <c r="AP30"/>
  <c r="AP26"/>
  <c r="AP22"/>
  <c r="AP18"/>
  <c r="AP14"/>
  <c r="AP10"/>
  <c r="AP6"/>
  <c r="AP60"/>
  <c r="AP56"/>
  <c r="AP52"/>
  <c r="AP48"/>
  <c r="AP44"/>
  <c r="AP40"/>
  <c r="AP36"/>
  <c r="AP32"/>
  <c r="AP28"/>
  <c r="AP24"/>
  <c r="AP20"/>
  <c r="AP16"/>
  <c r="AP12"/>
  <c r="AP8"/>
  <c r="AP4"/>
  <c r="AO60" i="1"/>
  <c r="AO59"/>
  <c r="AN60"/>
  <c r="AN59"/>
  <c r="AM60"/>
  <c r="AM59"/>
  <c r="AL60"/>
  <c r="AL59"/>
  <c r="AK60"/>
  <c r="AK59"/>
  <c r="AK61" s="1"/>
  <c r="AJ60"/>
  <c r="AJ59"/>
  <c r="AI60"/>
  <c r="AI59"/>
  <c r="AH60"/>
  <c r="AH59"/>
  <c r="AH61" s="1"/>
  <c r="AG60"/>
  <c r="AG59"/>
  <c r="AF60"/>
  <c r="AF59"/>
  <c r="AF61" s="1"/>
  <c r="AE60"/>
  <c r="AE59"/>
  <c r="AD60"/>
  <c r="AD59"/>
  <c r="AD61" s="1"/>
  <c r="AC60"/>
  <c r="AC59"/>
  <c r="AB60"/>
  <c r="AB59"/>
  <c r="AA60"/>
  <c r="AA59"/>
  <c r="AA61" s="1"/>
  <c r="Z60"/>
  <c r="Z59"/>
  <c r="Y60"/>
  <c r="Y59"/>
  <c r="Y61"/>
  <c r="X60"/>
  <c r="X59"/>
  <c r="W60"/>
  <c r="W59"/>
  <c r="V60"/>
  <c r="V59"/>
  <c r="V61" s="1"/>
  <c r="U60"/>
  <c r="U59"/>
  <c r="T60"/>
  <c r="T59"/>
  <c r="T61" s="1"/>
  <c r="S60"/>
  <c r="S59"/>
  <c r="R60"/>
  <c r="R59"/>
  <c r="Q60"/>
  <c r="Q59"/>
  <c r="Q61"/>
  <c r="P60"/>
  <c r="P59"/>
  <c r="P61" s="1"/>
  <c r="O60"/>
  <c r="O59"/>
  <c r="N60"/>
  <c r="N59"/>
  <c r="M60"/>
  <c r="M59"/>
  <c r="M61" s="1"/>
  <c r="L60"/>
  <c r="L59"/>
  <c r="K60"/>
  <c r="K59"/>
  <c r="J60"/>
  <c r="J59"/>
  <c r="J61" s="1"/>
  <c r="I60"/>
  <c r="I59"/>
  <c r="I61" s="1"/>
  <c r="H60"/>
  <c r="H59"/>
  <c r="G60"/>
  <c r="G59"/>
  <c r="F60"/>
  <c r="F59"/>
  <c r="E60"/>
  <c r="E59"/>
  <c r="E61"/>
  <c r="D60"/>
  <c r="D59"/>
  <c r="C60"/>
  <c r="C59"/>
  <c r="C49" i="12"/>
  <c r="C24"/>
  <c r="C16"/>
  <c r="C39"/>
  <c r="E14"/>
  <c r="E25"/>
  <c r="F25" s="1"/>
  <c r="E33"/>
  <c r="E52"/>
  <c r="C14"/>
  <c r="C30"/>
  <c r="C33"/>
  <c r="C52"/>
  <c r="E47"/>
  <c r="E49"/>
  <c r="E24"/>
  <c r="E50"/>
  <c r="E39"/>
  <c r="C4"/>
  <c r="C6"/>
  <c r="C8"/>
  <c r="C13"/>
  <c r="C23"/>
  <c r="C27"/>
  <c r="C29"/>
  <c r="C15"/>
  <c r="C31"/>
  <c r="C26"/>
  <c r="C34"/>
  <c r="C51"/>
  <c r="C40"/>
  <c r="E6"/>
  <c r="E48"/>
  <c r="E13"/>
  <c r="E27"/>
  <c r="E31"/>
  <c r="E26"/>
  <c r="E34"/>
  <c r="E51"/>
  <c r="F55" i="1"/>
  <c r="G53"/>
  <c r="J55"/>
  <c r="K53"/>
  <c r="C53"/>
  <c r="D55"/>
  <c r="E53"/>
  <c r="H55"/>
  <c r="I53"/>
  <c r="L55"/>
  <c r="M53"/>
  <c r="N55"/>
  <c r="O53"/>
  <c r="P55"/>
  <c r="Q53"/>
  <c r="R55"/>
  <c r="S53"/>
  <c r="V55"/>
  <c r="W53"/>
  <c r="Z55"/>
  <c r="AA53"/>
  <c r="AD55"/>
  <c r="AE53"/>
  <c r="AI53"/>
  <c r="AL55"/>
  <c r="C55"/>
  <c r="D53"/>
  <c r="E55"/>
  <c r="F53"/>
  <c r="G55"/>
  <c r="H53"/>
  <c r="I55"/>
  <c r="J53"/>
  <c r="K55"/>
  <c r="L53"/>
  <c r="M55"/>
  <c r="N53"/>
  <c r="O55"/>
  <c r="P53"/>
  <c r="Q55"/>
  <c r="T55"/>
  <c r="U53"/>
  <c r="X55"/>
  <c r="Y53"/>
  <c r="AB55"/>
  <c r="AC53"/>
  <c r="AH55"/>
  <c r="AM53"/>
  <c r="R53"/>
  <c r="S55"/>
  <c r="T53"/>
  <c r="U55"/>
  <c r="V53"/>
  <c r="W55"/>
  <c r="X53"/>
  <c r="Y55"/>
  <c r="Z53"/>
  <c r="AA55"/>
  <c r="AB53"/>
  <c r="AC55"/>
  <c r="AD53"/>
  <c r="AE55"/>
  <c r="AF55"/>
  <c r="AG53"/>
  <c r="AJ55"/>
  <c r="AK53"/>
  <c r="AN55"/>
  <c r="AO53"/>
  <c r="AF53"/>
  <c r="AG55"/>
  <c r="AH53"/>
  <c r="AI55"/>
  <c r="AJ53"/>
  <c r="AK55"/>
  <c r="AL53"/>
  <c r="AM55"/>
  <c r="AN53"/>
  <c r="AO55"/>
  <c r="E4" i="12"/>
  <c r="F4" s="1"/>
  <c r="AN61" i="1"/>
  <c r="AG61"/>
  <c r="AC61"/>
  <c r="AB61"/>
  <c r="X61"/>
  <c r="W61"/>
  <c r="U61"/>
  <c r="R61"/>
  <c r="N61"/>
  <c r="L61"/>
  <c r="E10" i="12"/>
  <c r="F10" s="1"/>
  <c r="D61" i="1"/>
  <c r="C45" i="12"/>
  <c r="C61" i="1"/>
  <c r="E21" i="12"/>
  <c r="C21"/>
  <c r="E45"/>
  <c r="C43"/>
  <c r="E28"/>
  <c r="F28" s="1"/>
  <c r="C22"/>
  <c r="E43"/>
  <c r="C28"/>
  <c r="C20"/>
  <c r="E20"/>
  <c r="F20" s="1"/>
  <c r="C10"/>
  <c r="C19" s="1"/>
  <c r="F61" i="1" l="1"/>
  <c r="H61"/>
  <c r="S61"/>
  <c r="AO61"/>
  <c r="AM61"/>
  <c r="AL61"/>
  <c r="AJ61"/>
  <c r="AI61"/>
  <c r="AE61"/>
  <c r="Z61"/>
  <c r="O61"/>
  <c r="K61"/>
  <c r="G61"/>
  <c r="E19" i="12"/>
  <c r="F19" s="1"/>
</calcChain>
</file>

<file path=xl/sharedStrings.xml><?xml version="1.0" encoding="utf-8"?>
<sst xmlns="http://schemas.openxmlformats.org/spreadsheetml/2006/main" count="1264" uniqueCount="203">
  <si>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</si>
  <si>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</si>
  <si>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</si>
  <si>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</si>
  <si>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</si>
  <si>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</si>
  <si>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</si>
  <si>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</si>
  <si>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</si>
  <si>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</si>
  <si>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</si>
  <si>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</si>
  <si>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</si>
  <si>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</si>
  <si>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</si>
  <si>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</si>
  <si>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</si>
  <si>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</si>
  <si>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</si>
  <si>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</si>
  <si>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</si>
  <si>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</si>
  <si>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</si>
  <si>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</si>
  <si>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</si>
  <si>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</si>
  <si>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</si>
  <si>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</si>
  <si>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</si>
  <si>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</si>
  <si>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</si>
  <si>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</si>
  <si>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</si>
  <si>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</si>
  <si>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</si>
  <si>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</si>
  <si>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</si>
  <si>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</si>
  <si>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</si>
  <si>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</si>
  <si>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</si>
  <si>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</si>
  <si>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</si>
  <si>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</si>
  <si>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</si>
  <si>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</si>
  <si>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</si>
  <si>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</si>
  <si>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</si>
  <si>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</si>
  <si>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</si>
  <si>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</si>
  <si>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</si>
  <si>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</si>
  <si>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</si>
  <si>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</si>
  <si>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</si>
  <si>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</si>
  <si>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</si>
  <si>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</si>
  <si>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</si>
  <si>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</si>
  <si>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</si>
  <si>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</si>
  <si>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</si>
  <si>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</si>
  <si>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</si>
  <si>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</si>
  <si>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</si>
  <si>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</si>
  <si>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</si>
  <si>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</si>
  <si>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</si>
  <si>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</si>
  <si>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</si>
  <si>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</si>
  <si>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</si>
  <si>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</si>
  <si>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</si>
  <si>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</si>
  <si>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</si>
  <si>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</si>
  <si>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</si>
  <si>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</si>
  <si>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</si>
  <si>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</si>
  <si>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</si>
  <si>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</si>
  <si>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</si>
  <si>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</si>
  <si>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</si>
  <si>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</si>
  <si>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</si>
  <si>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</si>
  <si>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</si>
  <si>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</si>
  <si>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</si>
  <si>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</si>
  <si>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</si>
  <si>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</si>
  <si>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</si>
  <si>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</si>
  <si>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</si>
  <si>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</si>
  <si>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</si>
  <si>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</si>
  <si>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</si>
  <si>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</si>
  <si>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</si>
  <si>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</si>
  <si>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</si>
  <si>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</si>
  <si>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</si>
  <si>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</si>
  <si>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</si>
  <si>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</si>
  <si>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</si>
  <si>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</si>
  <si>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</si>
  <si>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</si>
  <si>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</si>
  <si>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</si>
  <si>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</si>
  <si>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</si>
  <si>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</si>
  <si>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</si>
  <si>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</si>
  <si>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</si>
  <si>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</si>
  <si>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</si>
  <si>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</si>
  <si>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</si>
  <si>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</si>
  <si>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</si>
  <si>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</si>
  <si>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</si>
  <si>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</si>
  <si>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</si>
  <si>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</si>
  <si>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</si>
  <si>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</si>
  <si>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</si>
  <si>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</si>
  <si>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</si>
  <si>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</si>
  <si>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</si>
  <si>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</si>
  <si>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</si>
  <si>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</si>
  <si>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</si>
  <si>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</si>
  <si>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</si>
  <si>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</si>
  <si>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</si>
  <si>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</si>
  <si>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</si>
  <si>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</si>
  <si>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</si>
  <si>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</si>
  <si>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</si>
  <si>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</si>
  <si>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</si>
  <si>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</si>
  <si>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</si>
  <si>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</si>
  <si>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</si>
  <si>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Dochody majątkowe - wydatki majątkowe</t>
  </si>
  <si>
    <t>Dochody majątkowe (1b)</t>
  </si>
  <si>
    <t>Wydatki majątkowe (10)</t>
  </si>
  <si>
    <t>Uchwała Rady Gminy  z dnia 27.06.2012</t>
  </si>
  <si>
    <t>KOWIESY</t>
  </si>
  <si>
    <t>([7a]+[7b1]+[2c]-[2d]-[7a1])/[1]</t>
  </si>
  <si>
    <t>[1a]</t>
  </si>
  <si>
    <t>[7a]+[8]</t>
  </si>
  <si>
    <t>[20]</t>
  </si>
  <si>
    <t>[6]-[7]-[8]</t>
  </si>
  <si>
    <t>[26]-[27]</t>
  </si>
  <si>
    <t>[10]+[24]</t>
  </si>
  <si>
    <t>([13])/[1]</t>
  </si>
  <si>
    <t>[7a]+[7b]</t>
  </si>
  <si>
    <t>[1]</t>
  </si>
  <si>
    <t xml:space="preserve"> ([1a]-[24]+[1c])/[1]</t>
  </si>
  <si>
    <t>([7a]+[7b1]+[2c])/[1]</t>
  </si>
  <si>
    <t>[1a]+[1b]</t>
  </si>
  <si>
    <t>[2]+[7b]</t>
  </si>
  <si>
    <t>[23]-[24]</t>
  </si>
  <si>
    <t>[20a]-[21]</t>
  </si>
  <si>
    <t>[1]-[2]</t>
  </si>
  <si>
    <t>[20a]-[22]</t>
  </si>
  <si>
    <t>[3]+[4]+[5]</t>
  </si>
  <si>
    <t>([7a]+[7b1]+[2c]+[15])/[1]</t>
  </si>
  <si>
    <t>([13]-[14])/[1]</t>
  </si>
  <si>
    <t>[4]+[5]+[11]</t>
  </si>
  <si>
    <t>([7a]+[7b1]+[2c]+[15]-[2d]-[7a1])/[1]</t>
  </si>
  <si>
    <t>Nadwyżka budżetowa z lat ubiegłych plus wolne środki, o których mowa w art. 217 ust. 2 pkt 6 ufp, angażowane w budżecie roku bieżącego</t>
  </si>
  <si>
    <t xml:space="preserve">INFORMACJA O KSZTAŁTOWANIU SIĘ WIELOLETNIEJ PROGNOZY FINANSOWEJ </t>
  </si>
  <si>
    <t>% wykonania</t>
  </si>
  <si>
    <t>ZA PIERWSZE PÓŁROCZE 2012 ROKU</t>
  </si>
  <si>
    <t>Plan na 01.01.2012</t>
  </si>
  <si>
    <t>Plan po zmianach na 30.06.2012</t>
  </si>
  <si>
    <t xml:space="preserve"> Wykonanie na 30.06.2012</t>
  </si>
  <si>
    <t>x</t>
  </si>
  <si>
    <t>Przeznaczenie nadwyżki wykonanej w poszczególnych latach : **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</si>
</sst>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2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7.5"/>
      <color indexed="8"/>
      <name val="Czcionka tekstu podstawowego"/>
      <charset val="238"/>
    </font>
    <font>
      <sz val="7.5"/>
      <color indexed="8"/>
      <name val="Czcionka tekstu podstawowego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7">
    <xf numFmtId="0" fontId="0" fillId="0" borderId="0" xfId="0"/>
    <xf numFmtId="0" fontId="8" fillId="0" borderId="0" xfId="0" applyFont="1"/>
    <xf numFmtId="0" fontId="3" fillId="0" borderId="1" xfId="5" applyFont="1" applyBorder="1" applyAlignment="1">
      <alignment vertical="center" wrapText="1"/>
    </xf>
    <xf numFmtId="0" fontId="3" fillId="0" borderId="1" xfId="5" quotePrefix="1" applyFont="1" applyBorder="1" applyAlignment="1">
      <alignment vertical="center" wrapText="1"/>
    </xf>
    <xf numFmtId="0" fontId="8" fillId="0" borderId="0" xfId="0" applyFont="1" applyBorder="1"/>
    <xf numFmtId="0" fontId="8" fillId="2" borderId="0" xfId="0" applyFont="1" applyFill="1" applyBorder="1" applyAlignment="1">
      <alignment horizontal="center"/>
    </xf>
    <xf numFmtId="49" fontId="4" fillId="2" borderId="2" xfId="5" applyNumberFormat="1" applyFont="1" applyFill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4" fillId="3" borderId="4" xfId="5" applyFont="1" applyFill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49" fontId="4" fillId="2" borderId="7" xfId="5" applyNumberFormat="1" applyFont="1" applyFill="1" applyBorder="1" applyAlignment="1">
      <alignment horizontal="center"/>
    </xf>
    <xf numFmtId="49" fontId="4" fillId="2" borderId="8" xfId="5" applyNumberFormat="1" applyFont="1" applyFill="1" applyBorder="1" applyAlignment="1">
      <alignment horizontal="center"/>
    </xf>
    <xf numFmtId="0" fontId="3" fillId="4" borderId="1" xfId="5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5" borderId="0" xfId="0" applyFont="1" applyFill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49" fontId="4" fillId="2" borderId="9" xfId="5" applyNumberFormat="1" applyFont="1" applyFill="1" applyBorder="1" applyAlignment="1">
      <alignment horizontal="center"/>
    </xf>
    <xf numFmtId="164" fontId="3" fillId="5" borderId="3" xfId="5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5" fillId="0" borderId="0" xfId="0" applyFont="1"/>
    <xf numFmtId="0" fontId="8" fillId="2" borderId="0" xfId="0" applyFont="1" applyFill="1" applyAlignment="1">
      <alignment horizontal="center"/>
    </xf>
    <xf numFmtId="0" fontId="8" fillId="0" borderId="10" xfId="0" applyFont="1" applyBorder="1"/>
    <xf numFmtId="0" fontId="3" fillId="0" borderId="0" xfId="6" quotePrefix="1" applyFont="1" applyBorder="1" applyAlignment="1">
      <alignment horizontal="right" vertical="center"/>
    </xf>
    <xf numFmtId="0" fontId="3" fillId="0" borderId="0" xfId="6" applyFont="1" applyBorder="1" applyAlignment="1">
      <alignment vertical="center" wrapText="1"/>
    </xf>
    <xf numFmtId="164" fontId="3" fillId="0" borderId="0" xfId="6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Fill="1" applyBorder="1"/>
    <xf numFmtId="164" fontId="3" fillId="5" borderId="11" xfId="5" applyNumberFormat="1" applyFont="1" applyFill="1" applyBorder="1" applyAlignment="1" applyProtection="1">
      <alignment vertical="center"/>
      <protection locked="0"/>
    </xf>
    <xf numFmtId="0" fontId="16" fillId="0" borderId="0" xfId="0" applyFont="1"/>
    <xf numFmtId="0" fontId="8" fillId="0" borderId="0" xfId="0" applyFont="1" applyFill="1" applyBorder="1" applyAlignment="1">
      <alignment horizontal="center"/>
    </xf>
    <xf numFmtId="165" fontId="4" fillId="0" borderId="12" xfId="5" applyNumberFormat="1" applyFont="1" applyFill="1" applyBorder="1" applyAlignment="1">
      <alignment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0" xfId="0" applyFont="1" applyFill="1"/>
    <xf numFmtId="0" fontId="18" fillId="0" borderId="0" xfId="0" applyFont="1" applyAlignment="1">
      <alignment horizontal="right"/>
    </xf>
    <xf numFmtId="0" fontId="3" fillId="0" borderId="0" xfId="6" applyFont="1" applyBorder="1" applyAlignment="1">
      <alignment vertical="center"/>
    </xf>
    <xf numFmtId="0" fontId="4" fillId="3" borderId="1" xfId="5" applyFont="1" applyFill="1" applyBorder="1" applyAlignment="1">
      <alignment vertical="center" wrapText="1"/>
    </xf>
    <xf numFmtId="0" fontId="4" fillId="0" borderId="1" xfId="5" applyFont="1" applyBorder="1" applyAlignment="1">
      <alignment vertical="center" wrapText="1"/>
    </xf>
    <xf numFmtId="0" fontId="4" fillId="4" borderId="1" xfId="5" applyFont="1" applyFill="1" applyBorder="1" applyAlignment="1">
      <alignment vertical="center" wrapText="1"/>
    </xf>
    <xf numFmtId="49" fontId="4" fillId="2" borderId="14" xfId="5" applyNumberFormat="1" applyFont="1" applyFill="1" applyBorder="1" applyAlignment="1">
      <alignment vertical="center" wrapText="1"/>
    </xf>
    <xf numFmtId="0" fontId="4" fillId="2" borderId="15" xfId="5" applyFont="1" applyFill="1" applyBorder="1" applyAlignment="1">
      <alignment vertical="center" wrapText="1"/>
    </xf>
    <xf numFmtId="0" fontId="10" fillId="3" borderId="1" xfId="5" applyFont="1" applyFill="1" applyBorder="1" applyAlignment="1">
      <alignment vertical="center" wrapText="1"/>
    </xf>
    <xf numFmtId="0" fontId="10" fillId="3" borderId="16" xfId="5" applyFont="1" applyFill="1" applyBorder="1" applyAlignment="1">
      <alignment vertical="center" wrapText="1"/>
    </xf>
    <xf numFmtId="0" fontId="4" fillId="4" borderId="15" xfId="5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4" fillId="0" borderId="12" xfId="5" applyFont="1" applyFill="1" applyBorder="1" applyAlignment="1">
      <alignment vertical="center" wrapText="1"/>
    </xf>
    <xf numFmtId="165" fontId="3" fillId="0" borderId="12" xfId="6" applyNumberFormat="1" applyFont="1" applyFill="1" applyBorder="1" applyAlignment="1">
      <alignment vertical="center"/>
    </xf>
    <xf numFmtId="165" fontId="4" fillId="0" borderId="12" xfId="6" applyNumberFormat="1" applyFont="1" applyFill="1" applyBorder="1" applyAlignment="1">
      <alignment vertical="center"/>
    </xf>
    <xf numFmtId="49" fontId="4" fillId="2" borderId="12" xfId="6" applyNumberFormat="1" applyFont="1" applyFill="1" applyBorder="1" applyAlignment="1">
      <alignment horizontal="center" vertical="center"/>
    </xf>
    <xf numFmtId="49" fontId="4" fillId="2" borderId="12" xfId="6" applyNumberFormat="1" applyFont="1" applyFill="1" applyBorder="1" applyAlignment="1">
      <alignment vertical="center"/>
    </xf>
    <xf numFmtId="0" fontId="4" fillId="0" borderId="12" xfId="6" applyFont="1" applyBorder="1" applyAlignment="1">
      <alignment horizontal="center" vertical="center"/>
    </xf>
    <xf numFmtId="0" fontId="4" fillId="0" borderId="12" xfId="6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165" fontId="4" fillId="0" borderId="17" xfId="6" applyNumberFormat="1" applyFont="1" applyFill="1" applyBorder="1" applyAlignment="1">
      <alignment vertical="center"/>
    </xf>
    <xf numFmtId="0" fontId="4" fillId="0" borderId="18" xfId="5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4" fillId="0" borderId="12" xfId="5" applyNumberFormat="1" applyFont="1" applyFill="1" applyBorder="1" applyAlignment="1">
      <alignment horizontal="center" vertical="center"/>
    </xf>
    <xf numFmtId="49" fontId="4" fillId="0" borderId="12" xfId="5" applyNumberFormat="1" applyFont="1" applyFill="1" applyBorder="1" applyAlignment="1">
      <alignment horizontal="center" vertical="center" wrapText="1"/>
    </xf>
    <xf numFmtId="49" fontId="4" fillId="0" borderId="12" xfId="5" applyNumberFormat="1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 vertical="center"/>
    </xf>
    <xf numFmtId="165" fontId="4" fillId="0" borderId="12" xfId="5" applyNumberFormat="1" applyFont="1" applyFill="1" applyBorder="1" applyAlignment="1" applyProtection="1">
      <alignment vertical="center"/>
      <protection locked="0"/>
    </xf>
    <xf numFmtId="0" fontId="10" fillId="0" borderId="12" xfId="5" applyFont="1" applyFill="1" applyBorder="1" applyAlignment="1">
      <alignment vertical="center" wrapText="1"/>
    </xf>
    <xf numFmtId="165" fontId="4" fillId="0" borderId="12" xfId="5" applyNumberFormat="1" applyFont="1" applyFill="1" applyBorder="1" applyAlignment="1" applyProtection="1">
      <alignment vertical="center"/>
    </xf>
    <xf numFmtId="0" fontId="10" fillId="0" borderId="12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left" vertical="center" wrapText="1" indent="1"/>
    </xf>
    <xf numFmtId="165" fontId="3" fillId="0" borderId="18" xfId="5" applyNumberFormat="1" applyFont="1" applyFill="1" applyBorder="1" applyAlignment="1" applyProtection="1">
      <alignment vertical="center"/>
      <protection locked="0"/>
    </xf>
    <xf numFmtId="0" fontId="3" fillId="0" borderId="18" xfId="5" applyFont="1" applyFill="1" applyBorder="1" applyAlignment="1">
      <alignment horizontal="left" vertical="center" wrapText="1" indent="2"/>
    </xf>
    <xf numFmtId="0" fontId="3" fillId="0" borderId="18" xfId="5" quotePrefix="1" applyFont="1" applyFill="1" applyBorder="1" applyAlignment="1">
      <alignment horizontal="left" vertical="center" wrapText="1" indent="1"/>
    </xf>
    <xf numFmtId="0" fontId="13" fillId="0" borderId="18" xfId="5" applyFont="1" applyFill="1" applyBorder="1" applyAlignment="1">
      <alignment horizontal="left" vertical="center" wrapText="1" indent="2"/>
    </xf>
    <xf numFmtId="0" fontId="13" fillId="0" borderId="18" xfId="5" applyFont="1" applyFill="1" applyBorder="1" applyAlignment="1">
      <alignment horizontal="left" vertical="center" wrapText="1" indent="1"/>
    </xf>
    <xf numFmtId="165" fontId="4" fillId="0" borderId="18" xfId="5" applyNumberFormat="1" applyFont="1" applyFill="1" applyBorder="1" applyAlignment="1">
      <alignment vertical="center"/>
    </xf>
    <xf numFmtId="0" fontId="10" fillId="0" borderId="18" xfId="5" applyFont="1" applyFill="1" applyBorder="1" applyAlignment="1">
      <alignment horizontal="center" vertical="center"/>
    </xf>
    <xf numFmtId="0" fontId="13" fillId="0" borderId="18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vertical="center" wrapText="1"/>
    </xf>
    <xf numFmtId="10" fontId="3" fillId="0" borderId="18" xfId="7" applyNumberFormat="1" applyFont="1" applyFill="1" applyBorder="1" applyAlignment="1">
      <alignment vertical="center"/>
    </xf>
    <xf numFmtId="0" fontId="13" fillId="0" borderId="18" xfId="5" applyFont="1" applyFill="1" applyBorder="1" applyAlignment="1">
      <alignment vertical="center" wrapText="1"/>
    </xf>
    <xf numFmtId="0" fontId="4" fillId="0" borderId="18" xfId="6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 indent="1"/>
    </xf>
    <xf numFmtId="165" fontId="4" fillId="0" borderId="19" xfId="5" applyNumberFormat="1" applyFont="1" applyFill="1" applyBorder="1" applyAlignment="1">
      <alignment vertical="center"/>
    </xf>
    <xf numFmtId="0" fontId="4" fillId="0" borderId="17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vertical="center" wrapText="1"/>
    </xf>
    <xf numFmtId="165" fontId="4" fillId="0" borderId="17" xfId="5" applyNumberFormat="1" applyFont="1" applyFill="1" applyBorder="1" applyAlignment="1" applyProtection="1">
      <alignment vertical="center"/>
      <protection locked="0"/>
    </xf>
    <xf numFmtId="0" fontId="3" fillId="0" borderId="19" xfId="5" applyFont="1" applyFill="1" applyBorder="1" applyAlignment="1">
      <alignment horizontal="center" vertical="center"/>
    </xf>
    <xf numFmtId="0" fontId="3" fillId="0" borderId="19" xfId="5" applyFont="1" applyFill="1" applyBorder="1" applyAlignment="1">
      <alignment horizontal="left" vertical="center" wrapText="1" indent="2"/>
    </xf>
    <xf numFmtId="165" fontId="3" fillId="0" borderId="19" xfId="5" applyNumberFormat="1" applyFont="1" applyFill="1" applyBorder="1" applyAlignment="1" applyProtection="1">
      <alignment vertical="center"/>
      <protection locked="0"/>
    </xf>
    <xf numFmtId="0" fontId="3" fillId="0" borderId="19" xfId="5" applyFont="1" applyFill="1" applyBorder="1" applyAlignment="1">
      <alignment horizontal="left" vertical="center" wrapText="1" indent="1"/>
    </xf>
    <xf numFmtId="165" fontId="4" fillId="0" borderId="20" xfId="5" applyNumberFormat="1" applyFont="1" applyFill="1" applyBorder="1" applyAlignment="1">
      <alignment vertical="center"/>
    </xf>
    <xf numFmtId="165" fontId="4" fillId="0" borderId="17" xfId="5" applyNumberFormat="1" applyFont="1" applyFill="1" applyBorder="1" applyAlignment="1">
      <alignment vertical="center"/>
    </xf>
    <xf numFmtId="165" fontId="3" fillId="0" borderId="19" xfId="5" applyNumberFormat="1" applyFont="1" applyFill="1" applyBorder="1" applyAlignment="1">
      <alignment vertical="center"/>
    </xf>
    <xf numFmtId="165" fontId="4" fillId="0" borderId="17" xfId="5" applyNumberFormat="1" applyFont="1" applyFill="1" applyBorder="1" applyAlignment="1">
      <alignment vertical="center" wrapText="1"/>
    </xf>
    <xf numFmtId="0" fontId="10" fillId="0" borderId="17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vertical="center" wrapText="1"/>
    </xf>
    <xf numFmtId="0" fontId="13" fillId="0" borderId="19" xfId="5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left" vertical="center" wrapText="1" indent="1"/>
    </xf>
    <xf numFmtId="0" fontId="13" fillId="0" borderId="17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vertical="center" wrapText="1"/>
    </xf>
    <xf numFmtId="10" fontId="3" fillId="0" borderId="17" xfId="7" applyNumberFormat="1" applyFont="1" applyFill="1" applyBorder="1" applyAlignment="1">
      <alignment vertical="center"/>
    </xf>
    <xf numFmtId="0" fontId="13" fillId="0" borderId="19" xfId="5" applyFont="1" applyFill="1" applyBorder="1" applyAlignment="1">
      <alignment horizontal="left" vertical="center" wrapText="1"/>
    </xf>
    <xf numFmtId="10" fontId="3" fillId="0" borderId="19" xfId="7" applyNumberFormat="1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top" wrapText="1"/>
    </xf>
    <xf numFmtId="0" fontId="4" fillId="0" borderId="19" xfId="6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 indent="1"/>
    </xf>
    <xf numFmtId="0" fontId="12" fillId="0" borderId="19" xfId="0" applyFont="1" applyBorder="1" applyAlignment="1">
      <alignment horizontal="left" vertical="top" wrapText="1" indent="2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 indent="2"/>
    </xf>
    <xf numFmtId="0" fontId="14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21" fillId="6" borderId="12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vertical="center" wrapText="1"/>
    </xf>
    <xf numFmtId="165" fontId="4" fillId="0" borderId="17" xfId="6" applyNumberFormat="1" applyFont="1" applyFill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3" fillId="0" borderId="12" xfId="6" applyFont="1" applyFill="1" applyBorder="1" applyAlignment="1">
      <alignment horizontal="left" vertical="center" wrapText="1" indent="1"/>
    </xf>
    <xf numFmtId="0" fontId="3" fillId="0" borderId="12" xfId="6" applyFont="1" applyFill="1" applyBorder="1" applyAlignment="1">
      <alignment horizontal="left" vertical="center" wrapText="1" indent="2"/>
    </xf>
    <xf numFmtId="0" fontId="3" fillId="0" borderId="12" xfId="6" applyNumberFormat="1" applyFont="1" applyFill="1" applyBorder="1" applyAlignment="1">
      <alignment horizontal="left" vertical="center" wrapText="1" indent="2"/>
    </xf>
    <xf numFmtId="0" fontId="3" fillId="0" borderId="12" xfId="6" applyFont="1" applyFill="1" applyBorder="1" applyAlignment="1">
      <alignment horizontal="left" vertical="center" wrapText="1" indent="3"/>
    </xf>
    <xf numFmtId="0" fontId="3" fillId="0" borderId="12" xfId="6" applyFont="1" applyFill="1" applyBorder="1" applyAlignment="1">
      <alignment horizontal="left" vertical="center" wrapText="1" indent="4"/>
    </xf>
    <xf numFmtId="0" fontId="4" fillId="0" borderId="12" xfId="6" applyFont="1" applyFill="1" applyBorder="1" applyAlignment="1">
      <alignment horizontal="center" vertical="center"/>
    </xf>
    <xf numFmtId="0" fontId="10" fillId="0" borderId="12" xfId="6" applyFont="1" applyFill="1" applyBorder="1" applyAlignment="1">
      <alignment horizontal="left" vertical="center" wrapText="1"/>
    </xf>
    <xf numFmtId="0" fontId="3" fillId="0" borderId="12" xfId="6" quotePrefix="1" applyFont="1" applyFill="1" applyBorder="1" applyAlignment="1">
      <alignment horizontal="left" vertical="center" wrapText="1" indent="2"/>
    </xf>
    <xf numFmtId="0" fontId="3" fillId="0" borderId="12" xfId="6" applyFont="1" applyFill="1" applyBorder="1" applyAlignment="1">
      <alignment vertical="center" wrapText="1"/>
    </xf>
    <xf numFmtId="10" fontId="4" fillId="0" borderId="12" xfId="6" applyNumberFormat="1" applyFont="1" applyFill="1" applyBorder="1" applyAlignment="1">
      <alignment vertical="center"/>
    </xf>
    <xf numFmtId="164" fontId="3" fillId="0" borderId="12" xfId="6" applyNumberFormat="1" applyFont="1" applyFill="1" applyBorder="1" applyAlignment="1">
      <alignment vertical="center"/>
    </xf>
    <xf numFmtId="165" fontId="4" fillId="0" borderId="12" xfId="6" applyNumberFormat="1" applyFont="1" applyFill="1" applyBorder="1" applyAlignment="1">
      <alignment horizontal="center" vertical="center"/>
    </xf>
    <xf numFmtId="0" fontId="4" fillId="0" borderId="12" xfId="6" applyFont="1" applyBorder="1" applyAlignment="1" applyProtection="1">
      <alignment horizontal="center" vertical="center"/>
      <protection locked="0"/>
    </xf>
    <xf numFmtId="0" fontId="4" fillId="0" borderId="12" xfId="6" applyFont="1" applyFill="1" applyBorder="1" applyAlignment="1" applyProtection="1">
      <alignment vertical="center" wrapText="1"/>
      <protection locked="0"/>
    </xf>
    <xf numFmtId="165" fontId="4" fillId="0" borderId="12" xfId="6" applyNumberFormat="1" applyFont="1" applyFill="1" applyBorder="1" applyAlignment="1" applyProtection="1">
      <alignment vertical="center"/>
      <protection locked="0"/>
    </xf>
    <xf numFmtId="165" fontId="4" fillId="0" borderId="17" xfId="6" applyNumberFormat="1" applyFont="1" applyFill="1" applyBorder="1" applyAlignment="1" applyProtection="1">
      <alignment vertical="center"/>
      <protection locked="0"/>
    </xf>
    <xf numFmtId="0" fontId="3" fillId="0" borderId="12" xfId="6" applyFont="1" applyBorder="1" applyAlignment="1" applyProtection="1">
      <alignment horizontal="center" vertical="center"/>
      <protection locked="0"/>
    </xf>
    <xf numFmtId="0" fontId="3" fillId="0" borderId="12" xfId="6" applyFont="1" applyFill="1" applyBorder="1" applyAlignment="1" applyProtection="1">
      <alignment horizontal="left" vertical="center" wrapText="1" indent="1"/>
      <protection locked="0"/>
    </xf>
    <xf numFmtId="165" fontId="3" fillId="0" borderId="12" xfId="6" applyNumberFormat="1" applyFont="1" applyFill="1" applyBorder="1" applyAlignment="1" applyProtection="1">
      <alignment vertical="center"/>
      <protection locked="0"/>
    </xf>
    <xf numFmtId="0" fontId="3" fillId="0" borderId="12" xfId="6" applyFont="1" applyFill="1" applyBorder="1" applyAlignment="1" applyProtection="1">
      <alignment horizontal="left" vertical="center" wrapText="1" indent="2"/>
      <protection locked="0"/>
    </xf>
    <xf numFmtId="0" fontId="22" fillId="0" borderId="12" xfId="6" applyFont="1" applyFill="1" applyBorder="1" applyAlignment="1">
      <alignment horizontal="left" vertical="center" wrapText="1" indent="1"/>
    </xf>
    <xf numFmtId="0" fontId="22" fillId="0" borderId="12" xfId="6" applyFont="1" applyFill="1" applyBorder="1" applyAlignment="1">
      <alignment vertical="center" wrapText="1"/>
    </xf>
    <xf numFmtId="0" fontId="22" fillId="0" borderId="12" xfId="6" applyFont="1" applyFill="1" applyBorder="1" applyAlignment="1">
      <alignment horizontal="left" vertical="center" wrapText="1" indent="2"/>
    </xf>
    <xf numFmtId="0" fontId="23" fillId="0" borderId="12" xfId="6" applyFont="1" applyBorder="1" applyAlignment="1">
      <alignment horizontal="center" vertical="center"/>
    </xf>
    <xf numFmtId="0" fontId="23" fillId="0" borderId="12" xfId="0" applyFont="1" applyFill="1" applyBorder="1" applyAlignment="1">
      <alignment vertical="top" wrapText="1"/>
    </xf>
    <xf numFmtId="0" fontId="22" fillId="0" borderId="12" xfId="6" applyFont="1" applyFill="1" applyBorder="1" applyAlignment="1">
      <alignment horizontal="left" vertical="center" wrapText="1" indent="3"/>
    </xf>
    <xf numFmtId="165" fontId="3" fillId="0" borderId="17" xfId="6" applyNumberFormat="1" applyFont="1" applyFill="1" applyBorder="1" applyAlignment="1">
      <alignment vertical="center"/>
    </xf>
    <xf numFmtId="0" fontId="20" fillId="6" borderId="12" xfId="0" applyFont="1" applyFill="1" applyBorder="1" applyAlignment="1">
      <alignment horizontal="center" vertical="center" wrapText="1"/>
    </xf>
    <xf numFmtId="0" fontId="23" fillId="0" borderId="12" xfId="6" applyFont="1" applyFill="1" applyBorder="1" applyAlignment="1">
      <alignment horizontal="center" vertical="center" wrapText="1"/>
    </xf>
    <xf numFmtId="165" fontId="10" fillId="0" borderId="12" xfId="6" applyNumberFormat="1" applyFont="1" applyFill="1" applyBorder="1" applyAlignment="1">
      <alignment vertical="center"/>
    </xf>
    <xf numFmtId="165" fontId="10" fillId="0" borderId="17" xfId="6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9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6 2" xfId="6"/>
    <cellStyle name="Procentowy" xfId="7" builtinId="5"/>
    <cellStyle name="Procentowy 2" xfId="8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B56"/>
  <sheetViews>
    <sheetView tabSelected="1" topLeftCell="A22" zoomScaleNormal="100" zoomScaleSheetLayoutView="100" workbookViewId="0">
      <selection activeCell="B57" sqref="B57:G85"/>
    </sheetView>
  </sheetViews>
  <sheetFormatPr defaultRowHeight="12"/>
  <cols>
    <col min="1" max="1" width="3.75" style="1" customWidth="1"/>
    <col min="2" max="2" width="43.875" style="1" customWidth="1"/>
    <col min="3" max="3" width="11.625" style="1" customWidth="1"/>
    <col min="4" max="4" width="11.375" style="1" customWidth="1"/>
    <col min="5" max="5" width="10.625" style="1" customWidth="1"/>
    <col min="6" max="6" width="6.125" style="1" customWidth="1"/>
    <col min="7" max="16384" width="9" style="1"/>
  </cols>
  <sheetData>
    <row r="1" spans="1:210" s="4" customFormat="1" ht="14.25">
      <c r="A1" s="166" t="s">
        <v>195</v>
      </c>
      <c r="B1" s="166"/>
      <c r="C1" s="166"/>
      <c r="D1" s="166"/>
      <c r="E1" s="166"/>
      <c r="F1" s="166"/>
    </row>
    <row r="2" spans="1:210" s="4" customFormat="1" ht="10.5" customHeight="1">
      <c r="A2" s="165" t="s">
        <v>197</v>
      </c>
      <c r="B2" s="165"/>
      <c r="C2" s="165"/>
      <c r="D2" s="165"/>
      <c r="E2" s="165"/>
      <c r="F2" s="165"/>
    </row>
    <row r="3" spans="1:210" s="28" customFormat="1" ht="31.5">
      <c r="A3" s="56" t="s">
        <v>0</v>
      </c>
      <c r="B3" s="57" t="s">
        <v>1</v>
      </c>
      <c r="C3" s="131" t="s">
        <v>198</v>
      </c>
      <c r="D3" s="130" t="s">
        <v>199</v>
      </c>
      <c r="E3" s="130" t="s">
        <v>200</v>
      </c>
      <c r="F3" s="161" t="s">
        <v>196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</row>
    <row r="4" spans="1:210">
      <c r="A4" s="146" t="s">
        <v>45</v>
      </c>
      <c r="B4" s="147" t="s">
        <v>57</v>
      </c>
      <c r="C4" s="148">
        <f>+C5+C7</f>
        <v>9478827</v>
      </c>
      <c r="D4" s="148">
        <f>+D5+D7</f>
        <v>9767279.0500000007</v>
      </c>
      <c r="E4" s="148">
        <f t="shared" ref="E4" si="0">+E5+E7</f>
        <v>5963936.6100000003</v>
      </c>
      <c r="F4" s="149">
        <f>SUM(E4/D4*100)</f>
        <v>61.060368803530807</v>
      </c>
    </row>
    <row r="5" spans="1:210">
      <c r="A5" s="150"/>
      <c r="B5" s="151" t="s">
        <v>58</v>
      </c>
      <c r="C5" s="152">
        <v>7748706</v>
      </c>
      <c r="D5" s="152">
        <v>7927158.0499999998</v>
      </c>
      <c r="E5" s="152">
        <v>4372848.7300000004</v>
      </c>
      <c r="F5" s="149">
        <f t="shared" ref="F5:F30" si="1">SUM(E5/D5*100)</f>
        <v>55.162880598804264</v>
      </c>
    </row>
    <row r="6" spans="1:210">
      <c r="A6" s="150"/>
      <c r="B6" s="153" t="s">
        <v>84</v>
      </c>
      <c r="C6" s="152">
        <f>+Zal_1_WPF_wg_przeplywow!C9</f>
        <v>0</v>
      </c>
      <c r="D6" s="152">
        <f>+Zal_1_WPF_wg_przeplywow!D9</f>
        <v>0</v>
      </c>
      <c r="E6" s="152">
        <f>+Zal_1_WPF_wg_przeplywow!E9</f>
        <v>0</v>
      </c>
      <c r="F6" s="149">
        <v>0</v>
      </c>
    </row>
    <row r="7" spans="1:210">
      <c r="A7" s="133"/>
      <c r="B7" s="134" t="s">
        <v>85</v>
      </c>
      <c r="C7" s="54">
        <v>1730121</v>
      </c>
      <c r="D7" s="54">
        <v>1840121</v>
      </c>
      <c r="E7" s="54">
        <v>1591087.88</v>
      </c>
      <c r="F7" s="61">
        <f t="shared" si="1"/>
        <v>86.466481280307107</v>
      </c>
    </row>
    <row r="8" spans="1:210">
      <c r="A8" s="133"/>
      <c r="B8" s="136" t="s">
        <v>86</v>
      </c>
      <c r="C8" s="54">
        <f>+Zal_1_WPF_wg_przeplywow!C11</f>
        <v>154200</v>
      </c>
      <c r="D8" s="54">
        <v>154200</v>
      </c>
      <c r="E8" s="54">
        <v>15320.88</v>
      </c>
      <c r="F8" s="61">
        <f t="shared" si="1"/>
        <v>9.9357198443579762</v>
      </c>
    </row>
    <row r="9" spans="1:210">
      <c r="A9" s="133"/>
      <c r="B9" s="135" t="s">
        <v>87</v>
      </c>
      <c r="C9" s="54">
        <v>1575921</v>
      </c>
      <c r="D9" s="54">
        <v>1359493</v>
      </c>
      <c r="E9" s="54">
        <v>1359339</v>
      </c>
      <c r="F9" s="61">
        <f t="shared" si="1"/>
        <v>99.988672247668802</v>
      </c>
    </row>
    <row r="10" spans="1:210" s="4" customFormat="1" ht="12.75" thickBot="1">
      <c r="A10" s="58" t="s">
        <v>2</v>
      </c>
      <c r="B10" s="59" t="s">
        <v>46</v>
      </c>
      <c r="C10" s="55">
        <f>+C11+C17</f>
        <v>9083233</v>
      </c>
      <c r="D10" s="55">
        <f>+D11+D17</f>
        <v>9421685.0500000007</v>
      </c>
      <c r="E10" s="55">
        <f>+E11+E17</f>
        <v>4463990.8899999997</v>
      </c>
      <c r="F10" s="61">
        <f t="shared" si="1"/>
        <v>47.379962992925549</v>
      </c>
    </row>
    <row r="11" spans="1:210" s="29" customFormat="1">
      <c r="A11" s="58"/>
      <c r="B11" s="134" t="s">
        <v>59</v>
      </c>
      <c r="C11" s="55">
        <v>6911864</v>
      </c>
      <c r="D11" s="55">
        <v>7157853.5499999998</v>
      </c>
      <c r="E11" s="55">
        <v>3599004.27</v>
      </c>
      <c r="F11" s="61">
        <f t="shared" si="1"/>
        <v>50.280496029427702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</row>
    <row r="12" spans="1:210">
      <c r="A12" s="58"/>
      <c r="B12" s="135" t="s">
        <v>90</v>
      </c>
      <c r="C12" s="55">
        <v>6796864</v>
      </c>
      <c r="D12" s="55">
        <v>7042853.5499999998</v>
      </c>
      <c r="E12" s="55">
        <v>3539258.02</v>
      </c>
      <c r="F12" s="61">
        <f t="shared" si="1"/>
        <v>50.253182106846452</v>
      </c>
    </row>
    <row r="13" spans="1:210" ht="23.25" customHeight="1">
      <c r="A13" s="133"/>
      <c r="B13" s="155" t="s">
        <v>154</v>
      </c>
      <c r="C13" s="55">
        <f>+Zal_1_WPF_wg_przeplywow!C19</f>
        <v>0</v>
      </c>
      <c r="D13" s="55">
        <f>+Zal_1_WPF_wg_przeplywow!D19</f>
        <v>0</v>
      </c>
      <c r="E13" s="55">
        <f>+Zal_1_WPF_wg_przeplywow!E19</f>
        <v>0</v>
      </c>
      <c r="F13" s="61">
        <v>0</v>
      </c>
    </row>
    <row r="14" spans="1:210" ht="10.5" customHeight="1">
      <c r="A14" s="133"/>
      <c r="B14" s="159" t="s">
        <v>163</v>
      </c>
      <c r="C14" s="54">
        <f>+Zal_1_WPF_wg_przeplywow!C16</f>
        <v>0</v>
      </c>
      <c r="D14" s="54">
        <f>+Zal_1_WPF_wg_przeplywow!D16</f>
        <v>0</v>
      </c>
      <c r="E14" s="54">
        <f>+Zal_1_WPF_wg_przeplywow!E16</f>
        <v>0</v>
      </c>
      <c r="F14" s="61">
        <v>0</v>
      </c>
    </row>
    <row r="15" spans="1:210">
      <c r="A15" s="58"/>
      <c r="B15" s="137" t="s">
        <v>13</v>
      </c>
      <c r="C15" s="54">
        <f>+Zal_1_WPF_wg_przeplywow!C29</f>
        <v>115000</v>
      </c>
      <c r="D15" s="54">
        <v>115000</v>
      </c>
      <c r="E15" s="54">
        <v>59746.25</v>
      </c>
      <c r="F15" s="61">
        <f t="shared" si="1"/>
        <v>51.95326086956522</v>
      </c>
    </row>
    <row r="16" spans="1:210">
      <c r="A16" s="58"/>
      <c r="B16" s="138" t="s">
        <v>164</v>
      </c>
      <c r="C16" s="54">
        <f>+Zal_1_WPF_wg_przeplywow!C30</f>
        <v>115000</v>
      </c>
      <c r="D16" s="54">
        <v>115000</v>
      </c>
      <c r="E16" s="54">
        <v>59746.25</v>
      </c>
      <c r="F16" s="61">
        <f t="shared" si="1"/>
        <v>51.95326086956522</v>
      </c>
    </row>
    <row r="17" spans="1:210">
      <c r="A17" s="58"/>
      <c r="B17" s="134" t="s">
        <v>47</v>
      </c>
      <c r="C17" s="55">
        <v>2171369</v>
      </c>
      <c r="D17" s="55">
        <v>2263831.5</v>
      </c>
      <c r="E17" s="55">
        <v>864986.62</v>
      </c>
      <c r="F17" s="61">
        <f t="shared" si="1"/>
        <v>38.208966524231151</v>
      </c>
    </row>
    <row r="18" spans="1:210" ht="22.5" customHeight="1">
      <c r="A18" s="58"/>
      <c r="B18" s="156" t="s">
        <v>89</v>
      </c>
      <c r="C18" s="55">
        <v>745282.53</v>
      </c>
      <c r="D18" s="55">
        <v>781422.17</v>
      </c>
      <c r="E18" s="55">
        <v>780807.77</v>
      </c>
      <c r="F18" s="61">
        <f t="shared" si="1"/>
        <v>99.9213741273811</v>
      </c>
    </row>
    <row r="19" spans="1:210">
      <c r="A19" s="58" t="s">
        <v>7</v>
      </c>
      <c r="B19" s="59" t="s">
        <v>48</v>
      </c>
      <c r="C19" s="55">
        <f>+C4-C10</f>
        <v>395594</v>
      </c>
      <c r="D19" s="55">
        <f>+D4-D10</f>
        <v>345594</v>
      </c>
      <c r="E19" s="55">
        <f t="shared" ref="E19" si="2">+E4-E10</f>
        <v>1499945.7200000007</v>
      </c>
      <c r="F19" s="61">
        <f t="shared" si="1"/>
        <v>434.01960682187786</v>
      </c>
    </row>
    <row r="20" spans="1:210" s="41" customFormat="1">
      <c r="A20" s="139" t="s">
        <v>8</v>
      </c>
      <c r="B20" s="140" t="s">
        <v>49</v>
      </c>
      <c r="C20" s="55">
        <f>+C5-C11</f>
        <v>836842</v>
      </c>
      <c r="D20" s="55">
        <f>+D5-D11</f>
        <v>769304.5</v>
      </c>
      <c r="E20" s="55">
        <f t="shared" ref="E20" si="3">+E5-E11</f>
        <v>773844.46000000043</v>
      </c>
      <c r="F20" s="61">
        <f t="shared" si="1"/>
        <v>100.59013823525021</v>
      </c>
    </row>
    <row r="21" spans="1:210" s="41" customFormat="1">
      <c r="A21" s="139"/>
      <c r="B21" s="140" t="s">
        <v>166</v>
      </c>
      <c r="C21" s="163">
        <f>+C7-C17</f>
        <v>-441248</v>
      </c>
      <c r="D21" s="163">
        <f>+D7-D17</f>
        <v>-423710.5</v>
      </c>
      <c r="E21" s="163">
        <f>+E7-E17</f>
        <v>726101.25999999989</v>
      </c>
      <c r="F21" s="164" t="s">
        <v>201</v>
      </c>
    </row>
    <row r="22" spans="1:210">
      <c r="A22" s="58" t="s">
        <v>9</v>
      </c>
      <c r="B22" s="59" t="s">
        <v>50</v>
      </c>
      <c r="C22" s="55">
        <f>+C23+C25+C27</f>
        <v>261500</v>
      </c>
      <c r="D22" s="55">
        <v>311500</v>
      </c>
      <c r="E22" s="55">
        <v>268964.28000000003</v>
      </c>
      <c r="F22" s="61">
        <f t="shared" si="1"/>
        <v>86.34487319422152</v>
      </c>
    </row>
    <row r="23" spans="1:210" ht="23.25" customHeight="1">
      <c r="A23" s="133"/>
      <c r="B23" s="154" t="s">
        <v>60</v>
      </c>
      <c r="C23" s="55">
        <f>+Zal_1_WPF_wg_przeplywow!C21</f>
        <v>261500</v>
      </c>
      <c r="D23" s="55">
        <v>261500</v>
      </c>
      <c r="E23" s="55">
        <v>268964.28000000003</v>
      </c>
      <c r="F23" s="61">
        <f t="shared" si="1"/>
        <v>102.85440917782027</v>
      </c>
    </row>
    <row r="24" spans="1:210">
      <c r="A24" s="133"/>
      <c r="B24" s="141" t="s">
        <v>61</v>
      </c>
      <c r="C24" s="54">
        <f>+Zal_1_WPF_wg_przeplywow!C22</f>
        <v>0</v>
      </c>
      <c r="D24" s="54">
        <f>+Zal_1_WPF_wg_przeplywow!D22</f>
        <v>0</v>
      </c>
      <c r="E24" s="54">
        <f>+Zal_1_WPF_wg_przeplywow!E22</f>
        <v>0</v>
      </c>
      <c r="F24" s="61">
        <v>0</v>
      </c>
    </row>
    <row r="25" spans="1:210">
      <c r="A25" s="133"/>
      <c r="B25" s="134" t="s">
        <v>62</v>
      </c>
      <c r="C25" s="55">
        <v>0</v>
      </c>
      <c r="D25" s="55">
        <v>50000</v>
      </c>
      <c r="E25" s="55">
        <f>+Zal_1_WPF_wg_przeplywow!E36</f>
        <v>0</v>
      </c>
      <c r="F25" s="61">
        <f t="shared" si="1"/>
        <v>0</v>
      </c>
    </row>
    <row r="26" spans="1:210">
      <c r="A26" s="133"/>
      <c r="B26" s="156" t="s">
        <v>63</v>
      </c>
      <c r="C26" s="54">
        <f>+Zal_1_WPF_wg_przeplywow!C37</f>
        <v>0</v>
      </c>
      <c r="D26" s="54">
        <v>0</v>
      </c>
      <c r="E26" s="54">
        <f>+Zal_1_WPF_wg_przeplywow!E37</f>
        <v>0</v>
      </c>
      <c r="F26" s="160">
        <v>0</v>
      </c>
    </row>
    <row r="27" spans="1:210">
      <c r="A27" s="133"/>
      <c r="B27" s="154" t="s">
        <v>51</v>
      </c>
      <c r="C27" s="54">
        <f>+Zal_1_WPF_wg_przeplywow!C23</f>
        <v>0</v>
      </c>
      <c r="D27" s="54">
        <f>+Zal_1_WPF_wg_przeplywow!D23</f>
        <v>0</v>
      </c>
      <c r="E27" s="54">
        <f>+Zal_1_WPF_wg_przeplywow!E23</f>
        <v>0</v>
      </c>
      <c r="F27" s="160">
        <v>0</v>
      </c>
    </row>
    <row r="28" spans="1:210">
      <c r="A28" s="58" t="s">
        <v>10</v>
      </c>
      <c r="B28" s="59" t="s">
        <v>52</v>
      </c>
      <c r="C28" s="55">
        <f>+C29+C31</f>
        <v>657094</v>
      </c>
      <c r="D28" s="55">
        <v>657094</v>
      </c>
      <c r="E28" s="55">
        <f t="shared" ref="E28" si="4">+E29+E31</f>
        <v>467749.54</v>
      </c>
      <c r="F28" s="61">
        <f t="shared" si="1"/>
        <v>71.184570244135543</v>
      </c>
    </row>
    <row r="29" spans="1:210">
      <c r="A29" s="133"/>
      <c r="B29" s="134" t="s">
        <v>64</v>
      </c>
      <c r="C29" s="54">
        <f>+Zal_1_WPF_wg_przeplywow!C27</f>
        <v>657094</v>
      </c>
      <c r="D29" s="54">
        <v>657094</v>
      </c>
      <c r="E29" s="54">
        <v>467749.54</v>
      </c>
      <c r="F29" s="61">
        <f t="shared" si="1"/>
        <v>71.184570244135543</v>
      </c>
    </row>
    <row r="30" spans="1:210" ht="24">
      <c r="A30" s="133"/>
      <c r="B30" s="135" t="s">
        <v>65</v>
      </c>
      <c r="C30" s="54">
        <f>+Zal_1_WPF_wg_przeplywow!C28</f>
        <v>304294</v>
      </c>
      <c r="D30" s="54">
        <v>304294</v>
      </c>
      <c r="E30" s="54">
        <v>304294</v>
      </c>
      <c r="F30" s="61">
        <f t="shared" si="1"/>
        <v>100</v>
      </c>
    </row>
    <row r="31" spans="1:210" ht="12.75" thickBot="1">
      <c r="A31" s="133"/>
      <c r="B31" s="134" t="s">
        <v>15</v>
      </c>
      <c r="C31" s="55">
        <f>+Zal_1_WPF_wg_przeplywow!C31</f>
        <v>0</v>
      </c>
      <c r="D31" s="55">
        <f>+Zal_1_WPF_wg_przeplywow!D31</f>
        <v>0</v>
      </c>
      <c r="E31" s="55">
        <f>+Zal_1_WPF_wg_przeplywow!E31</f>
        <v>0</v>
      </c>
      <c r="F31" s="61">
        <v>0</v>
      </c>
    </row>
    <row r="32" spans="1:210" s="29" customFormat="1">
      <c r="A32" s="58" t="s">
        <v>11</v>
      </c>
      <c r="B32" s="59" t="s">
        <v>66</v>
      </c>
      <c r="C32" s="55">
        <v>1663572</v>
      </c>
      <c r="D32" s="55">
        <v>1713572.36</v>
      </c>
      <c r="E32" s="55">
        <v>1852916.82</v>
      </c>
      <c r="F32" s="132" t="s">
        <v>201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</row>
    <row r="33" spans="1:6" s="4" customFormat="1" ht="24">
      <c r="A33" s="58"/>
      <c r="B33" s="134" t="s">
        <v>67</v>
      </c>
      <c r="C33" s="55">
        <f>+Zal_1_WPF_wg_przeplywow!C40</f>
        <v>0</v>
      </c>
      <c r="D33" s="55">
        <f>+Zal_1_WPF_wg_przeplywow!D40</f>
        <v>0</v>
      </c>
      <c r="E33" s="55">
        <f>+Zal_1_WPF_wg_przeplywow!E40</f>
        <v>0</v>
      </c>
      <c r="F33" s="132" t="s">
        <v>201</v>
      </c>
    </row>
    <row r="34" spans="1:6">
      <c r="A34" s="58" t="s">
        <v>14</v>
      </c>
      <c r="B34" s="59" t="s">
        <v>68</v>
      </c>
      <c r="C34" s="54">
        <f>+Zal_1_WPF_wg_przeplywow!C41</f>
        <v>0</v>
      </c>
      <c r="D34" s="54">
        <f>+Zal_1_WPF_wg_przeplywow!D41</f>
        <v>0</v>
      </c>
      <c r="E34" s="54">
        <f>+Zal_1_WPF_wg_przeplywow!E41</f>
        <v>0</v>
      </c>
      <c r="F34" s="132" t="s">
        <v>201</v>
      </c>
    </row>
    <row r="35" spans="1:6" ht="15" customHeight="1">
      <c r="A35" s="58" t="s">
        <v>16</v>
      </c>
      <c r="B35" s="142" t="s">
        <v>69</v>
      </c>
      <c r="C35" s="143">
        <v>0.17549999999999999</v>
      </c>
      <c r="D35" s="143">
        <v>0.1754</v>
      </c>
      <c r="E35" s="143">
        <v>0.18870000000000001</v>
      </c>
      <c r="F35" s="132" t="s">
        <v>201</v>
      </c>
    </row>
    <row r="36" spans="1:6" ht="21.75" customHeight="1">
      <c r="A36" s="58" t="s">
        <v>70</v>
      </c>
      <c r="B36" s="142" t="s">
        <v>71</v>
      </c>
      <c r="C36" s="143">
        <v>0.17549999999999999</v>
      </c>
      <c r="D36" s="143">
        <v>0.1754</v>
      </c>
      <c r="E36" s="143">
        <v>0.18870000000000001</v>
      </c>
      <c r="F36" s="132" t="s">
        <v>201</v>
      </c>
    </row>
    <row r="37" spans="1:6" ht="21.75" customHeight="1">
      <c r="A37" s="58" t="s">
        <v>17</v>
      </c>
      <c r="B37" s="142" t="s">
        <v>72</v>
      </c>
      <c r="C37" s="143">
        <v>8.1500000000000003E-2</v>
      </c>
      <c r="D37" s="143">
        <v>7.9000000000000001E-2</v>
      </c>
      <c r="E37" s="143">
        <v>7.9000000000000001E-2</v>
      </c>
      <c r="F37" s="132" t="s">
        <v>201</v>
      </c>
    </row>
    <row r="38" spans="1:6" ht="24">
      <c r="A38" s="58" t="s">
        <v>73</v>
      </c>
      <c r="B38" s="142" t="s">
        <v>74</v>
      </c>
      <c r="C38" s="143">
        <v>4.9399999999999999E-2</v>
      </c>
      <c r="D38" s="143">
        <v>4.7899999999999998E-2</v>
      </c>
      <c r="E38" s="143">
        <v>4.7899999999999998E-2</v>
      </c>
      <c r="F38" s="132" t="s">
        <v>201</v>
      </c>
    </row>
    <row r="39" spans="1:6" ht="30.75" customHeight="1">
      <c r="A39" s="58" t="s">
        <v>19</v>
      </c>
      <c r="B39" s="155" t="s">
        <v>165</v>
      </c>
      <c r="C39" s="55">
        <f>+Zal_1_WPF_wg_przeplywow!C42</f>
        <v>0</v>
      </c>
      <c r="D39" s="55">
        <f>+Zal_1_WPF_wg_przeplywow!D42</f>
        <v>0</v>
      </c>
      <c r="E39" s="55">
        <f>+Zal_1_WPF_wg_przeplywow!E42</f>
        <v>0</v>
      </c>
      <c r="F39" s="132" t="s">
        <v>201</v>
      </c>
    </row>
    <row r="40" spans="1:6">
      <c r="A40" s="58" t="s">
        <v>20</v>
      </c>
      <c r="B40" s="142" t="s">
        <v>53</v>
      </c>
      <c r="C40" s="143">
        <f>+Zal_1_WPF_wg_przeplywow!C51</f>
        <v>0.13389999999999999</v>
      </c>
      <c r="D40" s="143">
        <v>0.13389999999999999</v>
      </c>
      <c r="E40" s="143">
        <v>0.13389999999999999</v>
      </c>
      <c r="F40" s="132" t="s">
        <v>201</v>
      </c>
    </row>
    <row r="41" spans="1:6">
      <c r="A41" s="58"/>
      <c r="B41" s="53" t="s">
        <v>55</v>
      </c>
      <c r="C41" s="143">
        <v>0.1046</v>
      </c>
      <c r="D41" s="143">
        <v>9.4600000000000004E-2</v>
      </c>
      <c r="E41" s="143">
        <v>9.4600000000000004E-2</v>
      </c>
      <c r="F41" s="132" t="s">
        <v>201</v>
      </c>
    </row>
    <row r="42" spans="1:6" ht="20.25" customHeight="1">
      <c r="A42" s="157" t="s">
        <v>21</v>
      </c>
      <c r="B42" s="155" t="s">
        <v>54</v>
      </c>
      <c r="C42" s="143">
        <v>8.1500000000000003E-2</v>
      </c>
      <c r="D42" s="143">
        <v>7.9000000000000001E-2</v>
      </c>
      <c r="E42" s="143">
        <v>7.9000000000000001E-2</v>
      </c>
      <c r="F42" s="132" t="s">
        <v>201</v>
      </c>
    </row>
    <row r="43" spans="1:6" ht="20.25" customHeight="1">
      <c r="A43" s="157" t="s">
        <v>75</v>
      </c>
      <c r="B43" s="155" t="s">
        <v>76</v>
      </c>
      <c r="C43" s="162" t="str">
        <f>IF(C42&lt;=C$40,"Spełnia  art. 243","Nie spełnia art. 243")</f>
        <v>Spełnia  art. 243</v>
      </c>
      <c r="D43" s="162" t="str">
        <f>IF(D42&lt;=D$40,"Spełnia  art. 243","Nie spełnia art. 243")</f>
        <v>Spełnia  art. 243</v>
      </c>
      <c r="E43" s="162" t="str">
        <f>IF(E42&lt;=E$40,"Spełnia  art. 243","Nie spełnia art. 243")</f>
        <v>Spełnia  art. 243</v>
      </c>
      <c r="F43" s="132" t="s">
        <v>201</v>
      </c>
    </row>
    <row r="44" spans="1:6" ht="22.5">
      <c r="A44" s="157" t="s">
        <v>22</v>
      </c>
      <c r="B44" s="155" t="s">
        <v>77</v>
      </c>
      <c r="C44" s="143">
        <v>4.9399999999999999E-2</v>
      </c>
      <c r="D44" s="143">
        <v>4.7899999999999998E-2</v>
      </c>
      <c r="E44" s="143">
        <v>4.7899999999999998E-2</v>
      </c>
      <c r="F44" s="132" t="s">
        <v>201</v>
      </c>
    </row>
    <row r="45" spans="1:6" ht="21" customHeight="1">
      <c r="A45" s="157" t="s">
        <v>78</v>
      </c>
      <c r="B45" s="155" t="s">
        <v>79</v>
      </c>
      <c r="C45" s="162" t="str">
        <f>IF(C44&lt;=C$40,"Spełnia  art. 243","Nie spełnia art. 243")</f>
        <v>Spełnia  art. 243</v>
      </c>
      <c r="D45" s="162" t="str">
        <f>IF(D44&lt;=D$40,"Spełnia  art. 243","Nie spełnia art. 243")</f>
        <v>Spełnia  art. 243</v>
      </c>
      <c r="E45" s="162" t="str">
        <f>IF(E44&lt;=E$40,"Spełnia  art. 243","Nie spełnia art. 243")</f>
        <v>Spełnia  art. 243</v>
      </c>
      <c r="F45" s="132" t="s">
        <v>201</v>
      </c>
    </row>
    <row r="46" spans="1:6">
      <c r="A46" s="58" t="s">
        <v>23</v>
      </c>
      <c r="B46" s="59" t="s">
        <v>80</v>
      </c>
      <c r="C46" s="144"/>
      <c r="D46" s="144"/>
      <c r="E46" s="144"/>
      <c r="F46" s="132" t="s">
        <v>201</v>
      </c>
    </row>
    <row r="47" spans="1:6">
      <c r="A47" s="133"/>
      <c r="B47" s="134" t="s">
        <v>4</v>
      </c>
      <c r="C47" s="54">
        <v>3087695</v>
      </c>
      <c r="D47" s="54">
        <v>3105278.6</v>
      </c>
      <c r="E47" s="54">
        <f>+Zal_1_WPF_wg_przeplywow!E14</f>
        <v>3275736</v>
      </c>
      <c r="F47" s="132" t="s">
        <v>201</v>
      </c>
    </row>
    <row r="48" spans="1:6">
      <c r="A48" s="133"/>
      <c r="B48" s="134" t="s">
        <v>5</v>
      </c>
      <c r="C48" s="54">
        <v>1057943</v>
      </c>
      <c r="D48" s="54">
        <v>1076440</v>
      </c>
      <c r="E48" s="54">
        <f>+Zal_1_WPF_wg_przeplywow!E15</f>
        <v>1107168</v>
      </c>
      <c r="F48" s="132" t="s">
        <v>201</v>
      </c>
    </row>
    <row r="49" spans="1:6">
      <c r="A49" s="133"/>
      <c r="B49" s="134" t="s">
        <v>81</v>
      </c>
      <c r="C49" s="54">
        <f>+Zal_1_WPF_wg_przeplywow!C18</f>
        <v>167584.48000000001</v>
      </c>
      <c r="D49" s="54">
        <v>167584.48000000001</v>
      </c>
      <c r="E49" s="54">
        <f>+Zal_1_WPF_wg_przeplywow!E18</f>
        <v>93542.24</v>
      </c>
      <c r="F49" s="132" t="s">
        <v>201</v>
      </c>
    </row>
    <row r="50" spans="1:6">
      <c r="A50" s="133"/>
      <c r="B50" s="134" t="s">
        <v>82</v>
      </c>
      <c r="C50" s="54">
        <v>832282.53</v>
      </c>
      <c r="D50" s="54">
        <v>868684.67</v>
      </c>
      <c r="E50" s="54">
        <f>+Zal_1_WPF_wg_przeplywow!E34</f>
        <v>0</v>
      </c>
      <c r="F50" s="132" t="s">
        <v>201</v>
      </c>
    </row>
    <row r="51" spans="1:6" ht="9.75" customHeight="1">
      <c r="A51" s="60" t="s">
        <v>24</v>
      </c>
      <c r="B51" s="158" t="s">
        <v>202</v>
      </c>
      <c r="C51" s="55">
        <f>+Zal_1_WPF_wg_przeplywow!C43</f>
        <v>345594</v>
      </c>
      <c r="D51" s="55">
        <v>345594</v>
      </c>
      <c r="E51" s="55">
        <f>+Zal_1_WPF_wg_przeplywow!E43</f>
        <v>472887</v>
      </c>
      <c r="F51" s="132" t="s">
        <v>201</v>
      </c>
    </row>
    <row r="52" spans="1:6">
      <c r="A52" s="58" t="s">
        <v>25</v>
      </c>
      <c r="B52" s="59" t="s">
        <v>91</v>
      </c>
      <c r="C52" s="54">
        <f>+Zal_1_WPF_wg_przeplywow!C44</f>
        <v>0</v>
      </c>
      <c r="D52" s="54">
        <f>+Zal_1_WPF_wg_przeplywow!D44</f>
        <v>0</v>
      </c>
      <c r="E52" s="54">
        <f>+Zal_1_WPF_wg_przeplywow!E44</f>
        <v>0</v>
      </c>
      <c r="F52" s="145" t="s">
        <v>201</v>
      </c>
    </row>
    <row r="53" spans="1:6" s="4" customFormat="1">
      <c r="A53" s="30"/>
      <c r="B53" s="31"/>
      <c r="C53" s="32"/>
      <c r="D53" s="32"/>
      <c r="E53" s="32"/>
      <c r="F53" s="32"/>
    </row>
    <row r="54" spans="1:6" s="4" customFormat="1">
      <c r="A54" s="30"/>
      <c r="B54" s="43"/>
      <c r="C54" s="32"/>
      <c r="D54" s="32"/>
      <c r="E54" s="32"/>
      <c r="F54" s="32"/>
    </row>
    <row r="55" spans="1:6">
      <c r="B55" s="43"/>
    </row>
    <row r="56" spans="1:6">
      <c r="B56" s="43"/>
    </row>
  </sheetData>
  <mergeCells count="2">
    <mergeCell ref="A2:F2"/>
    <mergeCell ref="A1:F1"/>
  </mergeCells>
  <conditionalFormatting sqref="C45:E45 C43:E43">
    <cfRule type="expression" dxfId="0" priority="5" stopIfTrue="1">
      <formula>LEFT(C43,3)="Nie"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portrait" blackAndWhite="1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Normal="100" workbookViewId="0">
      <pane xSplit="2" ySplit="6" topLeftCell="C14" activePane="bottomRight" state="frozen"/>
      <selection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RowHeight="12"/>
  <cols>
    <col min="1" max="1" width="3.625" style="1" bestFit="1" customWidth="1"/>
    <col min="2" max="2" width="49" style="1" customWidth="1"/>
    <col min="3" max="9" width="13.625" style="1" customWidth="1"/>
    <col min="10" max="31" width="13.5" style="1" customWidth="1"/>
    <col min="32" max="41" width="13.625" style="4" customWidth="1"/>
    <col min="42" max="16384" width="9" style="4"/>
  </cols>
  <sheetData>
    <row r="1" spans="1:249">
      <c r="C1" s="25" t="s">
        <v>42</v>
      </c>
      <c r="D1" s="16" t="str">
        <f>+DaneZrodlowe!B4</f>
        <v>Uchwała Rady Gminy  z dnia 27.06.2012</v>
      </c>
      <c r="G1" s="26"/>
      <c r="H1" s="26"/>
      <c r="I1" s="26"/>
    </row>
    <row r="2" spans="1:249">
      <c r="A2" s="22"/>
      <c r="C2" s="19" t="s">
        <v>40</v>
      </c>
      <c r="D2" s="20" t="str">
        <f>+"("&amp;DaneZrodlowe!D4&amp;") - "&amp;DaneZrodlowe!C4</f>
        <v>(1015042) - KOWIESY</v>
      </c>
      <c r="F2" s="16"/>
      <c r="G2" s="16"/>
      <c r="H2" s="16"/>
      <c r="I2" s="16"/>
    </row>
    <row r="3" spans="1:249">
      <c r="A3" s="17"/>
      <c r="C3" s="18" t="s">
        <v>41</v>
      </c>
      <c r="D3" s="21" t="str">
        <f>+"2012-"&amp;MAX(DaneZrodlowe!L:L)</f>
        <v>2012-2018</v>
      </c>
    </row>
    <row r="4" spans="1:249">
      <c r="A4" s="17"/>
    </row>
    <row r="5" spans="1:249" s="34" customFormat="1">
      <c r="A5" s="129"/>
      <c r="B5" s="129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249" s="37" customFormat="1" ht="12.75" customHeight="1">
      <c r="A6" s="70" t="s">
        <v>0</v>
      </c>
      <c r="B6" s="71" t="s">
        <v>1</v>
      </c>
      <c r="C6" s="72">
        <v>2012</v>
      </c>
      <c r="D6" s="72">
        <v>2013</v>
      </c>
      <c r="E6" s="72">
        <v>2014</v>
      </c>
      <c r="F6" s="72">
        <v>2015</v>
      </c>
      <c r="G6" s="72">
        <v>2016</v>
      </c>
      <c r="H6" s="72">
        <v>2017</v>
      </c>
      <c r="I6" s="72">
        <v>2018</v>
      </c>
      <c r="J6" s="72">
        <v>2019</v>
      </c>
      <c r="K6" s="72">
        <v>2020</v>
      </c>
      <c r="L6" s="72">
        <v>2021</v>
      </c>
      <c r="M6" s="72">
        <v>2022</v>
      </c>
      <c r="N6" s="72">
        <v>2023</v>
      </c>
      <c r="O6" s="72">
        <v>2024</v>
      </c>
      <c r="P6" s="72">
        <v>2025</v>
      </c>
      <c r="Q6" s="72">
        <v>2026</v>
      </c>
      <c r="R6" s="72">
        <v>2027</v>
      </c>
      <c r="S6" s="72">
        <v>2028</v>
      </c>
      <c r="T6" s="72">
        <v>2029</v>
      </c>
      <c r="U6" s="72">
        <v>2030</v>
      </c>
      <c r="V6" s="72">
        <v>2031</v>
      </c>
      <c r="W6" s="72">
        <v>2032</v>
      </c>
      <c r="X6" s="72">
        <v>2033</v>
      </c>
      <c r="Y6" s="72">
        <v>2034</v>
      </c>
      <c r="Z6" s="72">
        <v>2035</v>
      </c>
      <c r="AA6" s="72">
        <v>2036</v>
      </c>
      <c r="AB6" s="72">
        <v>2037</v>
      </c>
      <c r="AC6" s="72">
        <v>2038</v>
      </c>
      <c r="AD6" s="72">
        <v>2039</v>
      </c>
      <c r="AE6" s="72" t="s">
        <v>26</v>
      </c>
      <c r="AF6" s="72">
        <v>2041</v>
      </c>
      <c r="AG6" s="72">
        <v>2042</v>
      </c>
      <c r="AH6" s="72">
        <v>2043</v>
      </c>
      <c r="AI6" s="72">
        <v>2044</v>
      </c>
      <c r="AJ6" s="72">
        <v>2045</v>
      </c>
      <c r="AK6" s="72">
        <v>2046</v>
      </c>
      <c r="AL6" s="72">
        <v>2047</v>
      </c>
      <c r="AM6" s="72">
        <v>2048</v>
      </c>
      <c r="AN6" s="72">
        <v>2049</v>
      </c>
      <c r="AO6" s="72">
        <v>2050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</row>
    <row r="7" spans="1:249" s="34" customFormat="1">
      <c r="A7" s="99">
        <v>1</v>
      </c>
      <c r="B7" s="100" t="s">
        <v>93</v>
      </c>
      <c r="C7" s="101">
        <f>9767279.05</f>
        <v>9767279.0500000007</v>
      </c>
      <c r="D7" s="101">
        <f>8917515</f>
        <v>8917515</v>
      </c>
      <c r="E7" s="101">
        <f>8252557</f>
        <v>8252557</v>
      </c>
      <c r="F7" s="101">
        <f>8401495</f>
        <v>8401495</v>
      </c>
      <c r="G7" s="101">
        <f>8611532</f>
        <v>8611532</v>
      </c>
      <c r="H7" s="101">
        <f>8826820</f>
        <v>8826820</v>
      </c>
      <c r="I7" s="101">
        <f>9047491</f>
        <v>9047491</v>
      </c>
      <c r="J7" s="101">
        <f>0</f>
        <v>0</v>
      </c>
      <c r="K7" s="101">
        <f>0</f>
        <v>0</v>
      </c>
      <c r="L7" s="101">
        <f>0</f>
        <v>0</v>
      </c>
      <c r="M7" s="101">
        <f>0</f>
        <v>0</v>
      </c>
      <c r="N7" s="101">
        <f>0</f>
        <v>0</v>
      </c>
      <c r="O7" s="101">
        <f>0</f>
        <v>0</v>
      </c>
      <c r="P7" s="101">
        <f>0</f>
        <v>0</v>
      </c>
      <c r="Q7" s="101">
        <f>0</f>
        <v>0</v>
      </c>
      <c r="R7" s="101">
        <f>0</f>
        <v>0</v>
      </c>
      <c r="S7" s="101">
        <f>0</f>
        <v>0</v>
      </c>
      <c r="T7" s="101">
        <f>0</f>
        <v>0</v>
      </c>
      <c r="U7" s="101">
        <f>0</f>
        <v>0</v>
      </c>
      <c r="V7" s="101">
        <f>0</f>
        <v>0</v>
      </c>
      <c r="W7" s="101">
        <f>0</f>
        <v>0</v>
      </c>
      <c r="X7" s="101">
        <f>0</f>
        <v>0</v>
      </c>
      <c r="Y7" s="101">
        <f>0</f>
        <v>0</v>
      </c>
      <c r="Z7" s="101">
        <f>0</f>
        <v>0</v>
      </c>
      <c r="AA7" s="101">
        <f>0</f>
        <v>0</v>
      </c>
      <c r="AB7" s="101">
        <f>0</f>
        <v>0</v>
      </c>
      <c r="AC7" s="101">
        <f>0</f>
        <v>0</v>
      </c>
      <c r="AD7" s="101">
        <f>0</f>
        <v>0</v>
      </c>
      <c r="AE7" s="101">
        <f>0</f>
        <v>0</v>
      </c>
      <c r="AF7" s="101">
        <f>0</f>
        <v>0</v>
      </c>
      <c r="AG7" s="101">
        <f>0</f>
        <v>0</v>
      </c>
      <c r="AH7" s="101">
        <f>0</f>
        <v>0</v>
      </c>
      <c r="AI7" s="101">
        <f>0</f>
        <v>0</v>
      </c>
      <c r="AJ7" s="101">
        <f>0</f>
        <v>0</v>
      </c>
      <c r="AK7" s="101">
        <f>0</f>
        <v>0</v>
      </c>
      <c r="AL7" s="101">
        <f>0</f>
        <v>0</v>
      </c>
      <c r="AM7" s="101">
        <f>0</f>
        <v>0</v>
      </c>
      <c r="AN7" s="101">
        <f>0</f>
        <v>0</v>
      </c>
      <c r="AO7" s="101">
        <f>0</f>
        <v>0</v>
      </c>
    </row>
    <row r="8" spans="1:249" s="34" customFormat="1">
      <c r="A8" s="78" t="s">
        <v>94</v>
      </c>
      <c r="B8" s="79" t="s">
        <v>95</v>
      </c>
      <c r="C8" s="80">
        <f>7927158.05</f>
        <v>7927158.0499999998</v>
      </c>
      <c r="D8" s="80">
        <f>7999664</f>
        <v>7999664</v>
      </c>
      <c r="E8" s="80">
        <f>8252557</f>
        <v>8252557</v>
      </c>
      <c r="F8" s="80">
        <f>8401495</f>
        <v>8401495</v>
      </c>
      <c r="G8" s="80">
        <f>8611532</f>
        <v>8611532</v>
      </c>
      <c r="H8" s="80">
        <f>8826820</f>
        <v>8826820</v>
      </c>
      <c r="I8" s="80">
        <f>9047491</f>
        <v>9047491</v>
      </c>
      <c r="J8" s="80">
        <f>0</f>
        <v>0</v>
      </c>
      <c r="K8" s="80">
        <f>0</f>
        <v>0</v>
      </c>
      <c r="L8" s="80">
        <f>0</f>
        <v>0</v>
      </c>
      <c r="M8" s="80">
        <f>0</f>
        <v>0</v>
      </c>
      <c r="N8" s="80">
        <f>0</f>
        <v>0</v>
      </c>
      <c r="O8" s="80">
        <f>0</f>
        <v>0</v>
      </c>
      <c r="P8" s="80">
        <f>0</f>
        <v>0</v>
      </c>
      <c r="Q8" s="80">
        <f>0</f>
        <v>0</v>
      </c>
      <c r="R8" s="80">
        <f>0</f>
        <v>0</v>
      </c>
      <c r="S8" s="80">
        <f>0</f>
        <v>0</v>
      </c>
      <c r="T8" s="80">
        <f>0</f>
        <v>0</v>
      </c>
      <c r="U8" s="80">
        <f>0</f>
        <v>0</v>
      </c>
      <c r="V8" s="80">
        <f>0</f>
        <v>0</v>
      </c>
      <c r="W8" s="80">
        <f>0</f>
        <v>0</v>
      </c>
      <c r="X8" s="80">
        <f>0</f>
        <v>0</v>
      </c>
      <c r="Y8" s="80">
        <f>0</f>
        <v>0</v>
      </c>
      <c r="Z8" s="80">
        <f>0</f>
        <v>0</v>
      </c>
      <c r="AA8" s="80">
        <f>0</f>
        <v>0</v>
      </c>
      <c r="AB8" s="80">
        <f>0</f>
        <v>0</v>
      </c>
      <c r="AC8" s="80">
        <f>0</f>
        <v>0</v>
      </c>
      <c r="AD8" s="80">
        <f>0</f>
        <v>0</v>
      </c>
      <c r="AE8" s="80">
        <f>0</f>
        <v>0</v>
      </c>
      <c r="AF8" s="80">
        <f>0</f>
        <v>0</v>
      </c>
      <c r="AG8" s="80">
        <f>0</f>
        <v>0</v>
      </c>
      <c r="AH8" s="80">
        <f>0</f>
        <v>0</v>
      </c>
      <c r="AI8" s="80">
        <f>0</f>
        <v>0</v>
      </c>
      <c r="AJ8" s="80">
        <f>0</f>
        <v>0</v>
      </c>
      <c r="AK8" s="80">
        <f>0</f>
        <v>0</v>
      </c>
      <c r="AL8" s="80">
        <f>0</f>
        <v>0</v>
      </c>
      <c r="AM8" s="80">
        <f>0</f>
        <v>0</v>
      </c>
      <c r="AN8" s="80">
        <f>0</f>
        <v>0</v>
      </c>
      <c r="AO8" s="80">
        <f>0</f>
        <v>0</v>
      </c>
    </row>
    <row r="9" spans="1:249" s="34" customFormat="1">
      <c r="A9" s="78" t="s">
        <v>96</v>
      </c>
      <c r="B9" s="81" t="s">
        <v>84</v>
      </c>
      <c r="C9" s="80">
        <f>0</f>
        <v>0</v>
      </c>
      <c r="D9" s="80">
        <f>0</f>
        <v>0</v>
      </c>
      <c r="E9" s="80">
        <f>0</f>
        <v>0</v>
      </c>
      <c r="F9" s="80">
        <f>0</f>
        <v>0</v>
      </c>
      <c r="G9" s="80">
        <f>0</f>
        <v>0</v>
      </c>
      <c r="H9" s="80">
        <f>0</f>
        <v>0</v>
      </c>
      <c r="I9" s="80">
        <f>0</f>
        <v>0</v>
      </c>
      <c r="J9" s="80">
        <f>0</f>
        <v>0</v>
      </c>
      <c r="K9" s="80">
        <f>0</f>
        <v>0</v>
      </c>
      <c r="L9" s="80">
        <f>0</f>
        <v>0</v>
      </c>
      <c r="M9" s="80">
        <f>0</f>
        <v>0</v>
      </c>
      <c r="N9" s="80">
        <f>0</f>
        <v>0</v>
      </c>
      <c r="O9" s="80">
        <f>0</f>
        <v>0</v>
      </c>
      <c r="P9" s="80">
        <f>0</f>
        <v>0</v>
      </c>
      <c r="Q9" s="80">
        <f>0</f>
        <v>0</v>
      </c>
      <c r="R9" s="80">
        <f>0</f>
        <v>0</v>
      </c>
      <c r="S9" s="80">
        <f>0</f>
        <v>0</v>
      </c>
      <c r="T9" s="80">
        <f>0</f>
        <v>0</v>
      </c>
      <c r="U9" s="80">
        <f>0</f>
        <v>0</v>
      </c>
      <c r="V9" s="80">
        <f>0</f>
        <v>0</v>
      </c>
      <c r="W9" s="80">
        <f>0</f>
        <v>0</v>
      </c>
      <c r="X9" s="80">
        <f>0</f>
        <v>0</v>
      </c>
      <c r="Y9" s="80">
        <f>0</f>
        <v>0</v>
      </c>
      <c r="Z9" s="80">
        <f>0</f>
        <v>0</v>
      </c>
      <c r="AA9" s="80">
        <f>0</f>
        <v>0</v>
      </c>
      <c r="AB9" s="80">
        <f>0</f>
        <v>0</v>
      </c>
      <c r="AC9" s="80">
        <f>0</f>
        <v>0</v>
      </c>
      <c r="AD9" s="80">
        <f>0</f>
        <v>0</v>
      </c>
      <c r="AE9" s="80">
        <f>0</f>
        <v>0</v>
      </c>
      <c r="AF9" s="80">
        <f>0</f>
        <v>0</v>
      </c>
      <c r="AG9" s="80">
        <f>0</f>
        <v>0</v>
      </c>
      <c r="AH9" s="80">
        <f>0</f>
        <v>0</v>
      </c>
      <c r="AI9" s="80">
        <f>0</f>
        <v>0</v>
      </c>
      <c r="AJ9" s="80">
        <f>0</f>
        <v>0</v>
      </c>
      <c r="AK9" s="80">
        <f>0</f>
        <v>0</v>
      </c>
      <c r="AL9" s="80">
        <f>0</f>
        <v>0</v>
      </c>
      <c r="AM9" s="80">
        <f>0</f>
        <v>0</v>
      </c>
      <c r="AN9" s="80">
        <f>0</f>
        <v>0</v>
      </c>
      <c r="AO9" s="80">
        <f>0</f>
        <v>0</v>
      </c>
    </row>
    <row r="10" spans="1:249" s="34" customFormat="1">
      <c r="A10" s="78" t="s">
        <v>98</v>
      </c>
      <c r="B10" s="82" t="s">
        <v>99</v>
      </c>
      <c r="C10" s="80">
        <f>1840121</f>
        <v>1840121</v>
      </c>
      <c r="D10" s="80">
        <f>917851</f>
        <v>917851</v>
      </c>
      <c r="E10" s="80">
        <f>0</f>
        <v>0</v>
      </c>
      <c r="F10" s="80">
        <f>0</f>
        <v>0</v>
      </c>
      <c r="G10" s="80">
        <f>0</f>
        <v>0</v>
      </c>
      <c r="H10" s="80">
        <f>0</f>
        <v>0</v>
      </c>
      <c r="I10" s="80">
        <f>0</f>
        <v>0</v>
      </c>
      <c r="J10" s="80">
        <f>0</f>
        <v>0</v>
      </c>
      <c r="K10" s="80">
        <f>0</f>
        <v>0</v>
      </c>
      <c r="L10" s="80">
        <f>0</f>
        <v>0</v>
      </c>
      <c r="M10" s="80">
        <f>0</f>
        <v>0</v>
      </c>
      <c r="N10" s="80">
        <f>0</f>
        <v>0</v>
      </c>
      <c r="O10" s="80">
        <f>0</f>
        <v>0</v>
      </c>
      <c r="P10" s="80">
        <f>0</f>
        <v>0</v>
      </c>
      <c r="Q10" s="80">
        <f>0</f>
        <v>0</v>
      </c>
      <c r="R10" s="80">
        <f>0</f>
        <v>0</v>
      </c>
      <c r="S10" s="80">
        <f>0</f>
        <v>0</v>
      </c>
      <c r="T10" s="80">
        <f>0</f>
        <v>0</v>
      </c>
      <c r="U10" s="80">
        <f>0</f>
        <v>0</v>
      </c>
      <c r="V10" s="80">
        <f>0</f>
        <v>0</v>
      </c>
      <c r="W10" s="80">
        <f>0</f>
        <v>0</v>
      </c>
      <c r="X10" s="80">
        <f>0</f>
        <v>0</v>
      </c>
      <c r="Y10" s="80">
        <f>0</f>
        <v>0</v>
      </c>
      <c r="Z10" s="80">
        <f>0</f>
        <v>0</v>
      </c>
      <c r="AA10" s="80">
        <f>0</f>
        <v>0</v>
      </c>
      <c r="AB10" s="80">
        <f>0</f>
        <v>0</v>
      </c>
      <c r="AC10" s="80">
        <f>0</f>
        <v>0</v>
      </c>
      <c r="AD10" s="80">
        <f>0</f>
        <v>0</v>
      </c>
      <c r="AE10" s="80">
        <f>0</f>
        <v>0</v>
      </c>
      <c r="AF10" s="80">
        <f>0</f>
        <v>0</v>
      </c>
      <c r="AG10" s="80">
        <f>0</f>
        <v>0</v>
      </c>
      <c r="AH10" s="80">
        <f>0</f>
        <v>0</v>
      </c>
      <c r="AI10" s="80">
        <f>0</f>
        <v>0</v>
      </c>
      <c r="AJ10" s="80">
        <f>0</f>
        <v>0</v>
      </c>
      <c r="AK10" s="80">
        <f>0</f>
        <v>0</v>
      </c>
      <c r="AL10" s="80">
        <f>0</f>
        <v>0</v>
      </c>
      <c r="AM10" s="80">
        <f>0</f>
        <v>0</v>
      </c>
      <c r="AN10" s="80">
        <f>0</f>
        <v>0</v>
      </c>
      <c r="AO10" s="80">
        <f>0</f>
        <v>0</v>
      </c>
    </row>
    <row r="11" spans="1:249" s="34" customFormat="1">
      <c r="A11" s="78" t="s">
        <v>100</v>
      </c>
      <c r="B11" s="81" t="s">
        <v>86</v>
      </c>
      <c r="C11" s="80">
        <f>154200</f>
        <v>154200</v>
      </c>
      <c r="D11" s="80">
        <f>80000</f>
        <v>80000</v>
      </c>
      <c r="E11" s="80">
        <f>0</f>
        <v>0</v>
      </c>
      <c r="F11" s="80">
        <f>0</f>
        <v>0</v>
      </c>
      <c r="G11" s="80">
        <f>0</f>
        <v>0</v>
      </c>
      <c r="H11" s="80">
        <f>0</f>
        <v>0</v>
      </c>
      <c r="I11" s="80">
        <f>0</f>
        <v>0</v>
      </c>
      <c r="J11" s="80">
        <f>0</f>
        <v>0</v>
      </c>
      <c r="K11" s="80">
        <f>0</f>
        <v>0</v>
      </c>
      <c r="L11" s="80">
        <f>0</f>
        <v>0</v>
      </c>
      <c r="M11" s="80">
        <f>0</f>
        <v>0</v>
      </c>
      <c r="N11" s="80">
        <f>0</f>
        <v>0</v>
      </c>
      <c r="O11" s="80">
        <f>0</f>
        <v>0</v>
      </c>
      <c r="P11" s="80">
        <f>0</f>
        <v>0</v>
      </c>
      <c r="Q11" s="80">
        <f>0</f>
        <v>0</v>
      </c>
      <c r="R11" s="80">
        <f>0</f>
        <v>0</v>
      </c>
      <c r="S11" s="80">
        <f>0</f>
        <v>0</v>
      </c>
      <c r="T11" s="80">
        <f>0</f>
        <v>0</v>
      </c>
      <c r="U11" s="80">
        <f>0</f>
        <v>0</v>
      </c>
      <c r="V11" s="80">
        <f>0</f>
        <v>0</v>
      </c>
      <c r="W11" s="80">
        <f>0</f>
        <v>0</v>
      </c>
      <c r="X11" s="80">
        <f>0</f>
        <v>0</v>
      </c>
      <c r="Y11" s="80">
        <f>0</f>
        <v>0</v>
      </c>
      <c r="Z11" s="80">
        <f>0</f>
        <v>0</v>
      </c>
      <c r="AA11" s="80">
        <f>0</f>
        <v>0</v>
      </c>
      <c r="AB11" s="80">
        <f>0</f>
        <v>0</v>
      </c>
      <c r="AC11" s="80">
        <f>0</f>
        <v>0</v>
      </c>
      <c r="AD11" s="80">
        <f>0</f>
        <v>0</v>
      </c>
      <c r="AE11" s="80">
        <f>0</f>
        <v>0</v>
      </c>
      <c r="AF11" s="80">
        <f>0</f>
        <v>0</v>
      </c>
      <c r="AG11" s="80">
        <f>0</f>
        <v>0</v>
      </c>
      <c r="AH11" s="80">
        <f>0</f>
        <v>0</v>
      </c>
      <c r="AI11" s="80">
        <f>0</f>
        <v>0</v>
      </c>
      <c r="AJ11" s="80">
        <f>0</f>
        <v>0</v>
      </c>
      <c r="AK11" s="80">
        <f>0</f>
        <v>0</v>
      </c>
      <c r="AL11" s="80">
        <f>0</f>
        <v>0</v>
      </c>
      <c r="AM11" s="80">
        <f>0</f>
        <v>0</v>
      </c>
      <c r="AN11" s="80">
        <f>0</f>
        <v>0</v>
      </c>
      <c r="AO11" s="80">
        <f>0</f>
        <v>0</v>
      </c>
    </row>
    <row r="12" spans="1:249" s="34" customFormat="1">
      <c r="A12" s="102" t="s">
        <v>102</v>
      </c>
      <c r="B12" s="103" t="s">
        <v>87</v>
      </c>
      <c r="C12" s="104">
        <f>1359493</f>
        <v>1359493</v>
      </c>
      <c r="D12" s="104">
        <f>0</f>
        <v>0</v>
      </c>
      <c r="E12" s="104">
        <f>0</f>
        <v>0</v>
      </c>
      <c r="F12" s="104">
        <f>0</f>
        <v>0</v>
      </c>
      <c r="G12" s="104">
        <f>0</f>
        <v>0</v>
      </c>
      <c r="H12" s="104">
        <f>0</f>
        <v>0</v>
      </c>
      <c r="I12" s="104">
        <f>0</f>
        <v>0</v>
      </c>
      <c r="J12" s="104">
        <f>0</f>
        <v>0</v>
      </c>
      <c r="K12" s="104">
        <f>0</f>
        <v>0</v>
      </c>
      <c r="L12" s="104">
        <f>0</f>
        <v>0</v>
      </c>
      <c r="M12" s="104">
        <f>0</f>
        <v>0</v>
      </c>
      <c r="N12" s="104">
        <f>0</f>
        <v>0</v>
      </c>
      <c r="O12" s="104">
        <f>0</f>
        <v>0</v>
      </c>
      <c r="P12" s="104">
        <f>0</f>
        <v>0</v>
      </c>
      <c r="Q12" s="104">
        <f>0</f>
        <v>0</v>
      </c>
      <c r="R12" s="104">
        <f>0</f>
        <v>0</v>
      </c>
      <c r="S12" s="104">
        <f>0</f>
        <v>0</v>
      </c>
      <c r="T12" s="104">
        <f>0</f>
        <v>0</v>
      </c>
      <c r="U12" s="104">
        <f>0</f>
        <v>0</v>
      </c>
      <c r="V12" s="104">
        <f>0</f>
        <v>0</v>
      </c>
      <c r="W12" s="104">
        <f>0</f>
        <v>0</v>
      </c>
      <c r="X12" s="104">
        <f>0</f>
        <v>0</v>
      </c>
      <c r="Y12" s="104">
        <f>0</f>
        <v>0</v>
      </c>
      <c r="Z12" s="104">
        <f>0</f>
        <v>0</v>
      </c>
      <c r="AA12" s="104">
        <f>0</f>
        <v>0</v>
      </c>
      <c r="AB12" s="104">
        <f>0</f>
        <v>0</v>
      </c>
      <c r="AC12" s="104">
        <f>0</f>
        <v>0</v>
      </c>
      <c r="AD12" s="104">
        <f>0</f>
        <v>0</v>
      </c>
      <c r="AE12" s="104">
        <f>0</f>
        <v>0</v>
      </c>
      <c r="AF12" s="104">
        <f>0</f>
        <v>0</v>
      </c>
      <c r="AG12" s="104">
        <f>0</f>
        <v>0</v>
      </c>
      <c r="AH12" s="104">
        <f>0</f>
        <v>0</v>
      </c>
      <c r="AI12" s="104">
        <f>0</f>
        <v>0</v>
      </c>
      <c r="AJ12" s="104">
        <f>0</f>
        <v>0</v>
      </c>
      <c r="AK12" s="104">
        <f>0</f>
        <v>0</v>
      </c>
      <c r="AL12" s="104">
        <f>0</f>
        <v>0</v>
      </c>
      <c r="AM12" s="104">
        <f>0</f>
        <v>0</v>
      </c>
      <c r="AN12" s="104">
        <f>0</f>
        <v>0</v>
      </c>
      <c r="AO12" s="104">
        <f>0</f>
        <v>0</v>
      </c>
    </row>
    <row r="13" spans="1:249" s="34" customFormat="1" ht="24">
      <c r="A13" s="99">
        <v>2</v>
      </c>
      <c r="B13" s="100" t="s">
        <v>3</v>
      </c>
      <c r="C13" s="101">
        <f>7042853.55</f>
        <v>7042853.5499999998</v>
      </c>
      <c r="D13" s="101">
        <f>6781472</f>
        <v>6781472</v>
      </c>
      <c r="E13" s="101">
        <f>6951771</f>
        <v>6951771</v>
      </c>
      <c r="F13" s="101">
        <f>7205861</f>
        <v>7205861</v>
      </c>
      <c r="G13" s="101">
        <f>7422037</f>
        <v>7422037</v>
      </c>
      <c r="H13" s="101">
        <f>7644698</f>
        <v>7644698</v>
      </c>
      <c r="I13" s="101">
        <f>7874040</f>
        <v>7874040</v>
      </c>
      <c r="J13" s="101">
        <f>0</f>
        <v>0</v>
      </c>
      <c r="K13" s="101">
        <f>0</f>
        <v>0</v>
      </c>
      <c r="L13" s="101">
        <f>0</f>
        <v>0</v>
      </c>
      <c r="M13" s="101">
        <f>0</f>
        <v>0</v>
      </c>
      <c r="N13" s="101">
        <f>0</f>
        <v>0</v>
      </c>
      <c r="O13" s="101">
        <f>0</f>
        <v>0</v>
      </c>
      <c r="P13" s="101">
        <f>0</f>
        <v>0</v>
      </c>
      <c r="Q13" s="101">
        <f>0</f>
        <v>0</v>
      </c>
      <c r="R13" s="101">
        <f>0</f>
        <v>0</v>
      </c>
      <c r="S13" s="101">
        <f>0</f>
        <v>0</v>
      </c>
      <c r="T13" s="101">
        <f>0</f>
        <v>0</v>
      </c>
      <c r="U13" s="101">
        <f>0</f>
        <v>0</v>
      </c>
      <c r="V13" s="101">
        <f>0</f>
        <v>0</v>
      </c>
      <c r="W13" s="101">
        <f>0</f>
        <v>0</v>
      </c>
      <c r="X13" s="101">
        <f>0</f>
        <v>0</v>
      </c>
      <c r="Y13" s="101">
        <f>0</f>
        <v>0</v>
      </c>
      <c r="Z13" s="101">
        <f>0</f>
        <v>0</v>
      </c>
      <c r="AA13" s="101">
        <f>0</f>
        <v>0</v>
      </c>
      <c r="AB13" s="101">
        <f>0</f>
        <v>0</v>
      </c>
      <c r="AC13" s="101">
        <f>0</f>
        <v>0</v>
      </c>
      <c r="AD13" s="101">
        <f>0</f>
        <v>0</v>
      </c>
      <c r="AE13" s="101">
        <f>0</f>
        <v>0</v>
      </c>
      <c r="AF13" s="101">
        <f>0</f>
        <v>0</v>
      </c>
      <c r="AG13" s="101">
        <f>0</f>
        <v>0</v>
      </c>
      <c r="AH13" s="101">
        <f>0</f>
        <v>0</v>
      </c>
      <c r="AI13" s="101">
        <f>0</f>
        <v>0</v>
      </c>
      <c r="AJ13" s="101">
        <f>0</f>
        <v>0</v>
      </c>
      <c r="AK13" s="101">
        <f>0</f>
        <v>0</v>
      </c>
      <c r="AL13" s="101">
        <f>0</f>
        <v>0</v>
      </c>
      <c r="AM13" s="101">
        <f>0</f>
        <v>0</v>
      </c>
      <c r="AN13" s="101">
        <f>0</f>
        <v>0</v>
      </c>
      <c r="AO13" s="101">
        <f>0</f>
        <v>0</v>
      </c>
    </row>
    <row r="14" spans="1:249" s="34" customFormat="1">
      <c r="A14" s="78" t="s">
        <v>104</v>
      </c>
      <c r="B14" s="79" t="s">
        <v>4</v>
      </c>
      <c r="C14" s="80">
        <f>3105278.6</f>
        <v>3105278.6</v>
      </c>
      <c r="D14" s="80">
        <f>3170491</f>
        <v>3170491</v>
      </c>
      <c r="E14" s="80">
        <f>3275736</f>
        <v>3275736</v>
      </c>
      <c r="F14" s="80">
        <f>3374008</f>
        <v>3374008</v>
      </c>
      <c r="G14" s="80">
        <f>3475228</f>
        <v>3475228</v>
      </c>
      <c r="H14" s="80">
        <f>3579485</f>
        <v>3579485</v>
      </c>
      <c r="I14" s="80">
        <f>3686869</f>
        <v>3686869</v>
      </c>
      <c r="J14" s="80">
        <f>0</f>
        <v>0</v>
      </c>
      <c r="K14" s="80">
        <f>0</f>
        <v>0</v>
      </c>
      <c r="L14" s="80">
        <f>0</f>
        <v>0</v>
      </c>
      <c r="M14" s="80">
        <f>0</f>
        <v>0</v>
      </c>
      <c r="N14" s="80">
        <f>0</f>
        <v>0</v>
      </c>
      <c r="O14" s="80">
        <f>0</f>
        <v>0</v>
      </c>
      <c r="P14" s="80">
        <f>0</f>
        <v>0</v>
      </c>
      <c r="Q14" s="80">
        <f>0</f>
        <v>0</v>
      </c>
      <c r="R14" s="80">
        <f>0</f>
        <v>0</v>
      </c>
      <c r="S14" s="80">
        <f>0</f>
        <v>0</v>
      </c>
      <c r="T14" s="80">
        <f>0</f>
        <v>0</v>
      </c>
      <c r="U14" s="80">
        <f>0</f>
        <v>0</v>
      </c>
      <c r="V14" s="80">
        <f>0</f>
        <v>0</v>
      </c>
      <c r="W14" s="80">
        <f>0</f>
        <v>0</v>
      </c>
      <c r="X14" s="80">
        <f>0</f>
        <v>0</v>
      </c>
      <c r="Y14" s="80">
        <f>0</f>
        <v>0</v>
      </c>
      <c r="Z14" s="80">
        <f>0</f>
        <v>0</v>
      </c>
      <c r="AA14" s="80">
        <f>0</f>
        <v>0</v>
      </c>
      <c r="AB14" s="80">
        <f>0</f>
        <v>0</v>
      </c>
      <c r="AC14" s="80">
        <f>0</f>
        <v>0</v>
      </c>
      <c r="AD14" s="80">
        <f>0</f>
        <v>0</v>
      </c>
      <c r="AE14" s="80">
        <f>0</f>
        <v>0</v>
      </c>
      <c r="AF14" s="80">
        <f>0</f>
        <v>0</v>
      </c>
      <c r="AG14" s="80">
        <f>0</f>
        <v>0</v>
      </c>
      <c r="AH14" s="80">
        <f>0</f>
        <v>0</v>
      </c>
      <c r="AI14" s="80">
        <f>0</f>
        <v>0</v>
      </c>
      <c r="AJ14" s="80">
        <f>0</f>
        <v>0</v>
      </c>
      <c r="AK14" s="80">
        <f>0</f>
        <v>0</v>
      </c>
      <c r="AL14" s="80">
        <f>0</f>
        <v>0</v>
      </c>
      <c r="AM14" s="80">
        <f>0</f>
        <v>0</v>
      </c>
      <c r="AN14" s="80">
        <f>0</f>
        <v>0</v>
      </c>
      <c r="AO14" s="80">
        <f>0</f>
        <v>0</v>
      </c>
    </row>
    <row r="15" spans="1:249" s="34" customFormat="1">
      <c r="A15" s="78" t="s">
        <v>106</v>
      </c>
      <c r="B15" s="79" t="s">
        <v>5</v>
      </c>
      <c r="C15" s="80">
        <f>1076440</f>
        <v>1076440</v>
      </c>
      <c r="D15" s="80">
        <f>1080741</f>
        <v>1080741</v>
      </c>
      <c r="E15" s="80">
        <f>1107168</f>
        <v>1107168</v>
      </c>
      <c r="F15" s="80">
        <f>1132633</f>
        <v>1132633</v>
      </c>
      <c r="G15" s="80">
        <f>1158683</f>
        <v>1158683</v>
      </c>
      <c r="H15" s="80">
        <f>1185333</f>
        <v>1185333</v>
      </c>
      <c r="I15" s="80">
        <f>1212596</f>
        <v>1212596</v>
      </c>
      <c r="J15" s="80">
        <f>0</f>
        <v>0</v>
      </c>
      <c r="K15" s="80">
        <f>0</f>
        <v>0</v>
      </c>
      <c r="L15" s="80">
        <f>0</f>
        <v>0</v>
      </c>
      <c r="M15" s="80">
        <f>0</f>
        <v>0</v>
      </c>
      <c r="N15" s="80">
        <f>0</f>
        <v>0</v>
      </c>
      <c r="O15" s="80">
        <f>0</f>
        <v>0</v>
      </c>
      <c r="P15" s="80">
        <f>0</f>
        <v>0</v>
      </c>
      <c r="Q15" s="80">
        <f>0</f>
        <v>0</v>
      </c>
      <c r="R15" s="80">
        <f>0</f>
        <v>0</v>
      </c>
      <c r="S15" s="80">
        <f>0</f>
        <v>0</v>
      </c>
      <c r="T15" s="80">
        <f>0</f>
        <v>0</v>
      </c>
      <c r="U15" s="80">
        <f>0</f>
        <v>0</v>
      </c>
      <c r="V15" s="80">
        <f>0</f>
        <v>0</v>
      </c>
      <c r="W15" s="80">
        <f>0</f>
        <v>0</v>
      </c>
      <c r="X15" s="80">
        <f>0</f>
        <v>0</v>
      </c>
      <c r="Y15" s="80">
        <f>0</f>
        <v>0</v>
      </c>
      <c r="Z15" s="80">
        <f>0</f>
        <v>0</v>
      </c>
      <c r="AA15" s="80">
        <f>0</f>
        <v>0</v>
      </c>
      <c r="AB15" s="80">
        <f>0</f>
        <v>0</v>
      </c>
      <c r="AC15" s="80">
        <f>0</f>
        <v>0</v>
      </c>
      <c r="AD15" s="80">
        <f>0</f>
        <v>0</v>
      </c>
      <c r="AE15" s="80">
        <f>0</f>
        <v>0</v>
      </c>
      <c r="AF15" s="80">
        <f>0</f>
        <v>0</v>
      </c>
      <c r="AG15" s="80">
        <f>0</f>
        <v>0</v>
      </c>
      <c r="AH15" s="80">
        <f>0</f>
        <v>0</v>
      </c>
      <c r="AI15" s="80">
        <f>0</f>
        <v>0</v>
      </c>
      <c r="AJ15" s="80">
        <f>0</f>
        <v>0</v>
      </c>
      <c r="AK15" s="80">
        <f>0</f>
        <v>0</v>
      </c>
      <c r="AL15" s="80">
        <f>0</f>
        <v>0</v>
      </c>
      <c r="AM15" s="80">
        <f>0</f>
        <v>0</v>
      </c>
      <c r="AN15" s="80">
        <f>0</f>
        <v>0</v>
      </c>
      <c r="AO15" s="80">
        <f>0</f>
        <v>0</v>
      </c>
    </row>
    <row r="16" spans="1:249" s="34" customFormat="1">
      <c r="A16" s="78" t="s">
        <v>108</v>
      </c>
      <c r="B16" s="79" t="s">
        <v>156</v>
      </c>
      <c r="C16" s="80">
        <f>0</f>
        <v>0</v>
      </c>
      <c r="D16" s="80">
        <f>0</f>
        <v>0</v>
      </c>
      <c r="E16" s="80">
        <f>0</f>
        <v>0</v>
      </c>
      <c r="F16" s="80">
        <f>0</f>
        <v>0</v>
      </c>
      <c r="G16" s="80">
        <f>0</f>
        <v>0</v>
      </c>
      <c r="H16" s="80">
        <f>0</f>
        <v>0</v>
      </c>
      <c r="I16" s="80">
        <f>0</f>
        <v>0</v>
      </c>
      <c r="J16" s="80">
        <f>0</f>
        <v>0</v>
      </c>
      <c r="K16" s="80">
        <f>0</f>
        <v>0</v>
      </c>
      <c r="L16" s="80">
        <f>0</f>
        <v>0</v>
      </c>
      <c r="M16" s="80">
        <f>0</f>
        <v>0</v>
      </c>
      <c r="N16" s="80">
        <f>0</f>
        <v>0</v>
      </c>
      <c r="O16" s="80">
        <f>0</f>
        <v>0</v>
      </c>
      <c r="P16" s="80">
        <f>0</f>
        <v>0</v>
      </c>
      <c r="Q16" s="80">
        <f>0</f>
        <v>0</v>
      </c>
      <c r="R16" s="80">
        <f>0</f>
        <v>0</v>
      </c>
      <c r="S16" s="80">
        <f>0</f>
        <v>0</v>
      </c>
      <c r="T16" s="80">
        <f>0</f>
        <v>0</v>
      </c>
      <c r="U16" s="80">
        <f>0</f>
        <v>0</v>
      </c>
      <c r="V16" s="80">
        <f>0</f>
        <v>0</v>
      </c>
      <c r="W16" s="80">
        <f>0</f>
        <v>0</v>
      </c>
      <c r="X16" s="80">
        <f>0</f>
        <v>0</v>
      </c>
      <c r="Y16" s="80">
        <f>0</f>
        <v>0</v>
      </c>
      <c r="Z16" s="80">
        <f>0</f>
        <v>0</v>
      </c>
      <c r="AA16" s="80">
        <f>0</f>
        <v>0</v>
      </c>
      <c r="AB16" s="80">
        <f>0</f>
        <v>0</v>
      </c>
      <c r="AC16" s="80">
        <f>0</f>
        <v>0</v>
      </c>
      <c r="AD16" s="80">
        <f>0</f>
        <v>0</v>
      </c>
      <c r="AE16" s="80">
        <f>0</f>
        <v>0</v>
      </c>
      <c r="AF16" s="80">
        <f>0</f>
        <v>0</v>
      </c>
      <c r="AG16" s="80">
        <f>0</f>
        <v>0</v>
      </c>
      <c r="AH16" s="80">
        <f>0</f>
        <v>0</v>
      </c>
      <c r="AI16" s="80">
        <f>0</f>
        <v>0</v>
      </c>
      <c r="AJ16" s="80">
        <f>0</f>
        <v>0</v>
      </c>
      <c r="AK16" s="80">
        <f>0</f>
        <v>0</v>
      </c>
      <c r="AL16" s="80">
        <f>0</f>
        <v>0</v>
      </c>
      <c r="AM16" s="80">
        <f>0</f>
        <v>0</v>
      </c>
      <c r="AN16" s="80">
        <f>0</f>
        <v>0</v>
      </c>
      <c r="AO16" s="80">
        <f>0</f>
        <v>0</v>
      </c>
    </row>
    <row r="17" spans="1:41" s="34" customFormat="1" ht="24">
      <c r="A17" s="78" t="s">
        <v>110</v>
      </c>
      <c r="B17" s="83" t="s">
        <v>155</v>
      </c>
      <c r="C17" s="80">
        <f>0</f>
        <v>0</v>
      </c>
      <c r="D17" s="80">
        <f>0</f>
        <v>0</v>
      </c>
      <c r="E17" s="80">
        <f>0</f>
        <v>0</v>
      </c>
      <c r="F17" s="80">
        <f>0</f>
        <v>0</v>
      </c>
      <c r="G17" s="80">
        <f>0</f>
        <v>0</v>
      </c>
      <c r="H17" s="80">
        <f>0</f>
        <v>0</v>
      </c>
      <c r="I17" s="80">
        <f>0</f>
        <v>0</v>
      </c>
      <c r="J17" s="80">
        <f>0</f>
        <v>0</v>
      </c>
      <c r="K17" s="80">
        <f>0</f>
        <v>0</v>
      </c>
      <c r="L17" s="80">
        <f>0</f>
        <v>0</v>
      </c>
      <c r="M17" s="80">
        <f>0</f>
        <v>0</v>
      </c>
      <c r="N17" s="80">
        <f>0</f>
        <v>0</v>
      </c>
      <c r="O17" s="80">
        <f>0</f>
        <v>0</v>
      </c>
      <c r="P17" s="80">
        <f>0</f>
        <v>0</v>
      </c>
      <c r="Q17" s="80">
        <f>0</f>
        <v>0</v>
      </c>
      <c r="R17" s="80">
        <f>0</f>
        <v>0</v>
      </c>
      <c r="S17" s="80">
        <f>0</f>
        <v>0</v>
      </c>
      <c r="T17" s="80">
        <f>0</f>
        <v>0</v>
      </c>
      <c r="U17" s="80">
        <f>0</f>
        <v>0</v>
      </c>
      <c r="V17" s="80">
        <f>0</f>
        <v>0</v>
      </c>
      <c r="W17" s="80">
        <f>0</f>
        <v>0</v>
      </c>
      <c r="X17" s="80">
        <f>0</f>
        <v>0</v>
      </c>
      <c r="Y17" s="80">
        <f>0</f>
        <v>0</v>
      </c>
      <c r="Z17" s="80">
        <f>0</f>
        <v>0</v>
      </c>
      <c r="AA17" s="80">
        <f>0</f>
        <v>0</v>
      </c>
      <c r="AB17" s="80">
        <f>0</f>
        <v>0</v>
      </c>
      <c r="AC17" s="80">
        <f>0</f>
        <v>0</v>
      </c>
      <c r="AD17" s="80">
        <f>0</f>
        <v>0</v>
      </c>
      <c r="AE17" s="80">
        <f>0</f>
        <v>0</v>
      </c>
      <c r="AF17" s="80">
        <f>0</f>
        <v>0</v>
      </c>
      <c r="AG17" s="80">
        <f>0</f>
        <v>0</v>
      </c>
      <c r="AH17" s="80">
        <f>0</f>
        <v>0</v>
      </c>
      <c r="AI17" s="80">
        <f>0</f>
        <v>0</v>
      </c>
      <c r="AJ17" s="80">
        <f>0</f>
        <v>0</v>
      </c>
      <c r="AK17" s="80">
        <f>0</f>
        <v>0</v>
      </c>
      <c r="AL17" s="80">
        <f>0</f>
        <v>0</v>
      </c>
      <c r="AM17" s="80">
        <f>0</f>
        <v>0</v>
      </c>
      <c r="AN17" s="80">
        <f>0</f>
        <v>0</v>
      </c>
      <c r="AO17" s="80">
        <f>0</f>
        <v>0</v>
      </c>
    </row>
    <row r="18" spans="1:41" s="34" customFormat="1">
      <c r="A18" s="78" t="s">
        <v>112</v>
      </c>
      <c r="B18" s="79" t="s">
        <v>6</v>
      </c>
      <c r="C18" s="80">
        <f>167584.48</f>
        <v>167584.48000000001</v>
      </c>
      <c r="D18" s="80">
        <f>168084.48</f>
        <v>168084.48000000001</v>
      </c>
      <c r="E18" s="80">
        <f>93542.24</f>
        <v>93542.24</v>
      </c>
      <c r="F18" s="80">
        <f>14000</f>
        <v>14000</v>
      </c>
      <c r="G18" s="80">
        <f>0</f>
        <v>0</v>
      </c>
      <c r="H18" s="80">
        <f>0</f>
        <v>0</v>
      </c>
      <c r="I18" s="80">
        <f>0</f>
        <v>0</v>
      </c>
      <c r="J18" s="80">
        <f>0</f>
        <v>0</v>
      </c>
      <c r="K18" s="80">
        <f>0</f>
        <v>0</v>
      </c>
      <c r="L18" s="80">
        <f>0</f>
        <v>0</v>
      </c>
      <c r="M18" s="80">
        <f>0</f>
        <v>0</v>
      </c>
      <c r="N18" s="80">
        <f>0</f>
        <v>0</v>
      </c>
      <c r="O18" s="80">
        <f>0</f>
        <v>0</v>
      </c>
      <c r="P18" s="80">
        <f>0</f>
        <v>0</v>
      </c>
      <c r="Q18" s="80">
        <f>0</f>
        <v>0</v>
      </c>
      <c r="R18" s="80">
        <f>0</f>
        <v>0</v>
      </c>
      <c r="S18" s="80">
        <f>0</f>
        <v>0</v>
      </c>
      <c r="T18" s="80">
        <f>0</f>
        <v>0</v>
      </c>
      <c r="U18" s="80">
        <f>0</f>
        <v>0</v>
      </c>
      <c r="V18" s="80">
        <f>0</f>
        <v>0</v>
      </c>
      <c r="W18" s="80">
        <f>0</f>
        <v>0</v>
      </c>
      <c r="X18" s="80">
        <f>0</f>
        <v>0</v>
      </c>
      <c r="Y18" s="80">
        <f>0</f>
        <v>0</v>
      </c>
      <c r="Z18" s="80">
        <f>0</f>
        <v>0</v>
      </c>
      <c r="AA18" s="80">
        <f>0</f>
        <v>0</v>
      </c>
      <c r="AB18" s="80">
        <f>0</f>
        <v>0</v>
      </c>
      <c r="AC18" s="80">
        <f>0</f>
        <v>0</v>
      </c>
      <c r="AD18" s="80">
        <f>0</f>
        <v>0</v>
      </c>
      <c r="AE18" s="80">
        <f>0</f>
        <v>0</v>
      </c>
      <c r="AF18" s="80">
        <f>0</f>
        <v>0</v>
      </c>
      <c r="AG18" s="80">
        <f>0</f>
        <v>0</v>
      </c>
      <c r="AH18" s="80">
        <f>0</f>
        <v>0</v>
      </c>
      <c r="AI18" s="80">
        <f>0</f>
        <v>0</v>
      </c>
      <c r="AJ18" s="80">
        <f>0</f>
        <v>0</v>
      </c>
      <c r="AK18" s="80">
        <f>0</f>
        <v>0</v>
      </c>
      <c r="AL18" s="80">
        <f>0</f>
        <v>0</v>
      </c>
      <c r="AM18" s="80">
        <f>0</f>
        <v>0</v>
      </c>
      <c r="AN18" s="80">
        <f>0</f>
        <v>0</v>
      </c>
      <c r="AO18" s="80">
        <f>0</f>
        <v>0</v>
      </c>
    </row>
    <row r="19" spans="1:41" s="34" customFormat="1" ht="24">
      <c r="A19" s="102" t="s">
        <v>114</v>
      </c>
      <c r="B19" s="105" t="s">
        <v>154</v>
      </c>
      <c r="C19" s="104">
        <f>0</f>
        <v>0</v>
      </c>
      <c r="D19" s="104">
        <f>0</f>
        <v>0</v>
      </c>
      <c r="E19" s="104">
        <f>0</f>
        <v>0</v>
      </c>
      <c r="F19" s="104">
        <f>0</f>
        <v>0</v>
      </c>
      <c r="G19" s="104">
        <f>0</f>
        <v>0</v>
      </c>
      <c r="H19" s="104">
        <f>0</f>
        <v>0</v>
      </c>
      <c r="I19" s="104">
        <f>0</f>
        <v>0</v>
      </c>
      <c r="J19" s="104">
        <f>0</f>
        <v>0</v>
      </c>
      <c r="K19" s="104">
        <f>0</f>
        <v>0</v>
      </c>
      <c r="L19" s="104">
        <f>0</f>
        <v>0</v>
      </c>
      <c r="M19" s="104">
        <f>0</f>
        <v>0</v>
      </c>
      <c r="N19" s="104">
        <f>0</f>
        <v>0</v>
      </c>
      <c r="O19" s="104">
        <f>0</f>
        <v>0</v>
      </c>
      <c r="P19" s="104">
        <f>0</f>
        <v>0</v>
      </c>
      <c r="Q19" s="104">
        <f>0</f>
        <v>0</v>
      </c>
      <c r="R19" s="104">
        <f>0</f>
        <v>0</v>
      </c>
      <c r="S19" s="104">
        <f>0</f>
        <v>0</v>
      </c>
      <c r="T19" s="104">
        <f>0</f>
        <v>0</v>
      </c>
      <c r="U19" s="104">
        <f>0</f>
        <v>0</v>
      </c>
      <c r="V19" s="104">
        <f>0</f>
        <v>0</v>
      </c>
      <c r="W19" s="104">
        <f>0</f>
        <v>0</v>
      </c>
      <c r="X19" s="104">
        <f>0</f>
        <v>0</v>
      </c>
      <c r="Y19" s="104">
        <f>0</f>
        <v>0</v>
      </c>
      <c r="Z19" s="104">
        <f>0</f>
        <v>0</v>
      </c>
      <c r="AA19" s="104">
        <f>0</f>
        <v>0</v>
      </c>
      <c r="AB19" s="104">
        <f>0</f>
        <v>0</v>
      </c>
      <c r="AC19" s="104">
        <f>0</f>
        <v>0</v>
      </c>
      <c r="AD19" s="104">
        <f>0</f>
        <v>0</v>
      </c>
      <c r="AE19" s="104">
        <f>0</f>
        <v>0</v>
      </c>
      <c r="AF19" s="104">
        <f>0</f>
        <v>0</v>
      </c>
      <c r="AG19" s="104">
        <f>0</f>
        <v>0</v>
      </c>
      <c r="AH19" s="104">
        <f>0</f>
        <v>0</v>
      </c>
      <c r="AI19" s="104">
        <f>0</f>
        <v>0</v>
      </c>
      <c r="AJ19" s="104">
        <f>0</f>
        <v>0</v>
      </c>
      <c r="AK19" s="104">
        <f>0</f>
        <v>0</v>
      </c>
      <c r="AL19" s="104">
        <f>0</f>
        <v>0</v>
      </c>
      <c r="AM19" s="104">
        <f>0</f>
        <v>0</v>
      </c>
      <c r="AN19" s="104">
        <f>0</f>
        <v>0</v>
      </c>
      <c r="AO19" s="104">
        <f>0</f>
        <v>0</v>
      </c>
    </row>
    <row r="20" spans="1:41" s="34" customFormat="1">
      <c r="A20" s="73">
        <v>3</v>
      </c>
      <c r="B20" s="53" t="s">
        <v>116</v>
      </c>
      <c r="C20" s="74">
        <f>2724425.5</f>
        <v>2724425.5</v>
      </c>
      <c r="D20" s="74">
        <f>2136043</f>
        <v>2136043</v>
      </c>
      <c r="E20" s="74">
        <f>1300786</f>
        <v>1300786</v>
      </c>
      <c r="F20" s="74">
        <f>1195634</f>
        <v>1195634</v>
      </c>
      <c r="G20" s="74">
        <f>1189495</f>
        <v>1189495</v>
      </c>
      <c r="H20" s="74">
        <f>1182122</f>
        <v>1182122</v>
      </c>
      <c r="I20" s="74">
        <f>1173451</f>
        <v>1173451</v>
      </c>
      <c r="J20" s="74">
        <f>0</f>
        <v>0</v>
      </c>
      <c r="K20" s="74">
        <f>0</f>
        <v>0</v>
      </c>
      <c r="L20" s="74">
        <f>0</f>
        <v>0</v>
      </c>
      <c r="M20" s="74">
        <f>0</f>
        <v>0</v>
      </c>
      <c r="N20" s="74">
        <f>0</f>
        <v>0</v>
      </c>
      <c r="O20" s="74">
        <f>0</f>
        <v>0</v>
      </c>
      <c r="P20" s="74">
        <f>0</f>
        <v>0</v>
      </c>
      <c r="Q20" s="74">
        <f>0</f>
        <v>0</v>
      </c>
      <c r="R20" s="74">
        <f>0</f>
        <v>0</v>
      </c>
      <c r="S20" s="74">
        <f>0</f>
        <v>0</v>
      </c>
      <c r="T20" s="74">
        <f>0</f>
        <v>0</v>
      </c>
      <c r="U20" s="74">
        <f>0</f>
        <v>0</v>
      </c>
      <c r="V20" s="74">
        <f>0</f>
        <v>0</v>
      </c>
      <c r="W20" s="74">
        <f>0</f>
        <v>0</v>
      </c>
      <c r="X20" s="74">
        <f>0</f>
        <v>0</v>
      </c>
      <c r="Y20" s="74">
        <f>0</f>
        <v>0</v>
      </c>
      <c r="Z20" s="74">
        <f>0</f>
        <v>0</v>
      </c>
      <c r="AA20" s="74">
        <f>0</f>
        <v>0</v>
      </c>
      <c r="AB20" s="74">
        <f>0</f>
        <v>0</v>
      </c>
      <c r="AC20" s="74">
        <f>0</f>
        <v>0</v>
      </c>
      <c r="AD20" s="74">
        <f>0</f>
        <v>0</v>
      </c>
      <c r="AE20" s="74">
        <f>0</f>
        <v>0</v>
      </c>
      <c r="AF20" s="74">
        <f>0</f>
        <v>0</v>
      </c>
      <c r="AG20" s="74">
        <f>0</f>
        <v>0</v>
      </c>
      <c r="AH20" s="74">
        <f>0</f>
        <v>0</v>
      </c>
      <c r="AI20" s="74">
        <f>0</f>
        <v>0</v>
      </c>
      <c r="AJ20" s="74">
        <f>0</f>
        <v>0</v>
      </c>
      <c r="AK20" s="74">
        <f>0</f>
        <v>0</v>
      </c>
      <c r="AL20" s="74">
        <f>0</f>
        <v>0</v>
      </c>
      <c r="AM20" s="74">
        <f>0</f>
        <v>0</v>
      </c>
      <c r="AN20" s="74">
        <f>0</f>
        <v>0</v>
      </c>
      <c r="AO20" s="74">
        <f>0</f>
        <v>0</v>
      </c>
    </row>
    <row r="21" spans="1:41" s="34" customFormat="1" ht="24">
      <c r="A21" s="99">
        <v>4</v>
      </c>
      <c r="B21" s="100" t="s">
        <v>60</v>
      </c>
      <c r="C21" s="101">
        <f>261500</f>
        <v>261500</v>
      </c>
      <c r="D21" s="101">
        <f>0</f>
        <v>0</v>
      </c>
      <c r="E21" s="101">
        <f>0</f>
        <v>0</v>
      </c>
      <c r="F21" s="101">
        <f>0</f>
        <v>0</v>
      </c>
      <c r="G21" s="101">
        <f>0</f>
        <v>0</v>
      </c>
      <c r="H21" s="101">
        <f>0</f>
        <v>0</v>
      </c>
      <c r="I21" s="101">
        <f>0</f>
        <v>0</v>
      </c>
      <c r="J21" s="101">
        <f>0</f>
        <v>0</v>
      </c>
      <c r="K21" s="101">
        <f>0</f>
        <v>0</v>
      </c>
      <c r="L21" s="101">
        <f>0</f>
        <v>0</v>
      </c>
      <c r="M21" s="101">
        <f>0</f>
        <v>0</v>
      </c>
      <c r="N21" s="101">
        <f>0</f>
        <v>0</v>
      </c>
      <c r="O21" s="101">
        <f>0</f>
        <v>0</v>
      </c>
      <c r="P21" s="101">
        <f>0</f>
        <v>0</v>
      </c>
      <c r="Q21" s="101">
        <f>0</f>
        <v>0</v>
      </c>
      <c r="R21" s="101">
        <f>0</f>
        <v>0</v>
      </c>
      <c r="S21" s="101">
        <f>0</f>
        <v>0</v>
      </c>
      <c r="T21" s="101">
        <f>0</f>
        <v>0</v>
      </c>
      <c r="U21" s="101">
        <f>0</f>
        <v>0</v>
      </c>
      <c r="V21" s="101">
        <f>0</f>
        <v>0</v>
      </c>
      <c r="W21" s="101">
        <f>0</f>
        <v>0</v>
      </c>
      <c r="X21" s="101">
        <f>0</f>
        <v>0</v>
      </c>
      <c r="Y21" s="101">
        <f>0</f>
        <v>0</v>
      </c>
      <c r="Z21" s="101">
        <f>0</f>
        <v>0</v>
      </c>
      <c r="AA21" s="101">
        <f>0</f>
        <v>0</v>
      </c>
      <c r="AB21" s="101">
        <f>0</f>
        <v>0</v>
      </c>
      <c r="AC21" s="101">
        <f>0</f>
        <v>0</v>
      </c>
      <c r="AD21" s="101">
        <f>0</f>
        <v>0</v>
      </c>
      <c r="AE21" s="101">
        <f>0</f>
        <v>0</v>
      </c>
      <c r="AF21" s="101">
        <f>0</f>
        <v>0</v>
      </c>
      <c r="AG21" s="101">
        <f>0</f>
        <v>0</v>
      </c>
      <c r="AH21" s="101">
        <f>0</f>
        <v>0</v>
      </c>
      <c r="AI21" s="101">
        <f>0</f>
        <v>0</v>
      </c>
      <c r="AJ21" s="101">
        <f>0</f>
        <v>0</v>
      </c>
      <c r="AK21" s="101">
        <f>0</f>
        <v>0</v>
      </c>
      <c r="AL21" s="101">
        <f>0</f>
        <v>0</v>
      </c>
      <c r="AM21" s="101">
        <f>0</f>
        <v>0</v>
      </c>
      <c r="AN21" s="101">
        <f>0</f>
        <v>0</v>
      </c>
      <c r="AO21" s="101">
        <f>0</f>
        <v>0</v>
      </c>
    </row>
    <row r="22" spans="1:41" s="34" customFormat="1">
      <c r="A22" s="102" t="s">
        <v>117</v>
      </c>
      <c r="B22" s="105" t="s">
        <v>61</v>
      </c>
      <c r="C22" s="104">
        <f>0</f>
        <v>0</v>
      </c>
      <c r="D22" s="104">
        <f>0</f>
        <v>0</v>
      </c>
      <c r="E22" s="104">
        <f>0</f>
        <v>0</v>
      </c>
      <c r="F22" s="104">
        <f>0</f>
        <v>0</v>
      </c>
      <c r="G22" s="104">
        <f>0</f>
        <v>0</v>
      </c>
      <c r="H22" s="104">
        <f>0</f>
        <v>0</v>
      </c>
      <c r="I22" s="104">
        <f>0</f>
        <v>0</v>
      </c>
      <c r="J22" s="104">
        <f>0</f>
        <v>0</v>
      </c>
      <c r="K22" s="104">
        <f>0</f>
        <v>0</v>
      </c>
      <c r="L22" s="104">
        <f>0</f>
        <v>0</v>
      </c>
      <c r="M22" s="104">
        <f>0</f>
        <v>0</v>
      </c>
      <c r="N22" s="104">
        <f>0</f>
        <v>0</v>
      </c>
      <c r="O22" s="104">
        <f>0</f>
        <v>0</v>
      </c>
      <c r="P22" s="104">
        <f>0</f>
        <v>0</v>
      </c>
      <c r="Q22" s="104">
        <f>0</f>
        <v>0</v>
      </c>
      <c r="R22" s="104">
        <f>0</f>
        <v>0</v>
      </c>
      <c r="S22" s="104">
        <f>0</f>
        <v>0</v>
      </c>
      <c r="T22" s="104">
        <f>0</f>
        <v>0</v>
      </c>
      <c r="U22" s="104">
        <f>0</f>
        <v>0</v>
      </c>
      <c r="V22" s="104">
        <f>0</f>
        <v>0</v>
      </c>
      <c r="W22" s="104">
        <f>0</f>
        <v>0</v>
      </c>
      <c r="X22" s="104">
        <f>0</f>
        <v>0</v>
      </c>
      <c r="Y22" s="104">
        <f>0</f>
        <v>0</v>
      </c>
      <c r="Z22" s="104">
        <f>0</f>
        <v>0</v>
      </c>
      <c r="AA22" s="104">
        <f>0</f>
        <v>0</v>
      </c>
      <c r="AB22" s="104">
        <f>0</f>
        <v>0</v>
      </c>
      <c r="AC22" s="104">
        <f>0</f>
        <v>0</v>
      </c>
      <c r="AD22" s="104">
        <f>0</f>
        <v>0</v>
      </c>
      <c r="AE22" s="104">
        <f>0</f>
        <v>0</v>
      </c>
      <c r="AF22" s="104">
        <f>0</f>
        <v>0</v>
      </c>
      <c r="AG22" s="104">
        <f>0</f>
        <v>0</v>
      </c>
      <c r="AH22" s="104">
        <f>0</f>
        <v>0</v>
      </c>
      <c r="AI22" s="104">
        <f>0</f>
        <v>0</v>
      </c>
      <c r="AJ22" s="104">
        <f>0</f>
        <v>0</v>
      </c>
      <c r="AK22" s="104">
        <f>0</f>
        <v>0</v>
      </c>
      <c r="AL22" s="104">
        <f>0</f>
        <v>0</v>
      </c>
      <c r="AM22" s="104">
        <f>0</f>
        <v>0</v>
      </c>
      <c r="AN22" s="104">
        <f>0</f>
        <v>0</v>
      </c>
      <c r="AO22" s="104">
        <f>0</f>
        <v>0</v>
      </c>
    </row>
    <row r="23" spans="1:41" s="34" customFormat="1">
      <c r="A23" s="99">
        <v>5</v>
      </c>
      <c r="B23" s="100" t="s">
        <v>119</v>
      </c>
      <c r="C23" s="101">
        <f>0</f>
        <v>0</v>
      </c>
      <c r="D23" s="101">
        <f>0</f>
        <v>0</v>
      </c>
      <c r="E23" s="101">
        <f>0</f>
        <v>0</v>
      </c>
      <c r="F23" s="101">
        <f>0</f>
        <v>0</v>
      </c>
      <c r="G23" s="101">
        <f>0</f>
        <v>0</v>
      </c>
      <c r="H23" s="101">
        <f>0</f>
        <v>0</v>
      </c>
      <c r="I23" s="101">
        <f>0</f>
        <v>0</v>
      </c>
      <c r="J23" s="101">
        <f>0</f>
        <v>0</v>
      </c>
      <c r="K23" s="101">
        <f>0</f>
        <v>0</v>
      </c>
      <c r="L23" s="101">
        <f>0</f>
        <v>0</v>
      </c>
      <c r="M23" s="101">
        <f>0</f>
        <v>0</v>
      </c>
      <c r="N23" s="101">
        <f>0</f>
        <v>0</v>
      </c>
      <c r="O23" s="101">
        <f>0</f>
        <v>0</v>
      </c>
      <c r="P23" s="101">
        <f>0</f>
        <v>0</v>
      </c>
      <c r="Q23" s="101">
        <f>0</f>
        <v>0</v>
      </c>
      <c r="R23" s="101">
        <f>0</f>
        <v>0</v>
      </c>
      <c r="S23" s="101">
        <f>0</f>
        <v>0</v>
      </c>
      <c r="T23" s="101">
        <f>0</f>
        <v>0</v>
      </c>
      <c r="U23" s="101">
        <f>0</f>
        <v>0</v>
      </c>
      <c r="V23" s="101">
        <f>0</f>
        <v>0</v>
      </c>
      <c r="W23" s="101">
        <f>0</f>
        <v>0</v>
      </c>
      <c r="X23" s="101">
        <f>0</f>
        <v>0</v>
      </c>
      <c r="Y23" s="101">
        <f>0</f>
        <v>0</v>
      </c>
      <c r="Z23" s="101">
        <f>0</f>
        <v>0</v>
      </c>
      <c r="AA23" s="101">
        <f>0</f>
        <v>0</v>
      </c>
      <c r="AB23" s="101">
        <f>0</f>
        <v>0</v>
      </c>
      <c r="AC23" s="101">
        <f>0</f>
        <v>0</v>
      </c>
      <c r="AD23" s="101">
        <f>0</f>
        <v>0</v>
      </c>
      <c r="AE23" s="101">
        <f>0</f>
        <v>0</v>
      </c>
      <c r="AF23" s="101">
        <f>0</f>
        <v>0</v>
      </c>
      <c r="AG23" s="101">
        <f>0</f>
        <v>0</v>
      </c>
      <c r="AH23" s="101">
        <f>0</f>
        <v>0</v>
      </c>
      <c r="AI23" s="101">
        <f>0</f>
        <v>0</v>
      </c>
      <c r="AJ23" s="101">
        <f>0</f>
        <v>0</v>
      </c>
      <c r="AK23" s="101">
        <f>0</f>
        <v>0</v>
      </c>
      <c r="AL23" s="101">
        <f>0</f>
        <v>0</v>
      </c>
      <c r="AM23" s="101">
        <f>0</f>
        <v>0</v>
      </c>
      <c r="AN23" s="101">
        <f>0</f>
        <v>0</v>
      </c>
      <c r="AO23" s="101">
        <f>0</f>
        <v>0</v>
      </c>
    </row>
    <row r="24" spans="1:41" s="34" customFormat="1">
      <c r="A24" s="102" t="s">
        <v>120</v>
      </c>
      <c r="B24" s="105" t="s">
        <v>61</v>
      </c>
      <c r="C24" s="104">
        <f>0</f>
        <v>0</v>
      </c>
      <c r="D24" s="104">
        <f>0</f>
        <v>0</v>
      </c>
      <c r="E24" s="104">
        <f>0</f>
        <v>0</v>
      </c>
      <c r="F24" s="104">
        <f>0</f>
        <v>0</v>
      </c>
      <c r="G24" s="104">
        <f>0</f>
        <v>0</v>
      </c>
      <c r="H24" s="104">
        <f>0</f>
        <v>0</v>
      </c>
      <c r="I24" s="104">
        <f>0</f>
        <v>0</v>
      </c>
      <c r="J24" s="104">
        <f>0</f>
        <v>0</v>
      </c>
      <c r="K24" s="104">
        <f>0</f>
        <v>0</v>
      </c>
      <c r="L24" s="104">
        <f>0</f>
        <v>0</v>
      </c>
      <c r="M24" s="104">
        <f>0</f>
        <v>0</v>
      </c>
      <c r="N24" s="104">
        <f>0</f>
        <v>0</v>
      </c>
      <c r="O24" s="104">
        <f>0</f>
        <v>0</v>
      </c>
      <c r="P24" s="104">
        <f>0</f>
        <v>0</v>
      </c>
      <c r="Q24" s="104">
        <f>0</f>
        <v>0</v>
      </c>
      <c r="R24" s="104">
        <f>0</f>
        <v>0</v>
      </c>
      <c r="S24" s="104">
        <f>0</f>
        <v>0</v>
      </c>
      <c r="T24" s="104">
        <f>0</f>
        <v>0</v>
      </c>
      <c r="U24" s="104">
        <f>0</f>
        <v>0</v>
      </c>
      <c r="V24" s="104">
        <f>0</f>
        <v>0</v>
      </c>
      <c r="W24" s="104">
        <f>0</f>
        <v>0</v>
      </c>
      <c r="X24" s="104">
        <f>0</f>
        <v>0</v>
      </c>
      <c r="Y24" s="104">
        <f>0</f>
        <v>0</v>
      </c>
      <c r="Z24" s="104">
        <f>0</f>
        <v>0</v>
      </c>
      <c r="AA24" s="104">
        <f>0</f>
        <v>0</v>
      </c>
      <c r="AB24" s="104">
        <f>0</f>
        <v>0</v>
      </c>
      <c r="AC24" s="104">
        <f>0</f>
        <v>0</v>
      </c>
      <c r="AD24" s="104">
        <f>0</f>
        <v>0</v>
      </c>
      <c r="AE24" s="104">
        <f>0</f>
        <v>0</v>
      </c>
      <c r="AF24" s="104">
        <f>0</f>
        <v>0</v>
      </c>
      <c r="AG24" s="104">
        <f>0</f>
        <v>0</v>
      </c>
      <c r="AH24" s="104">
        <f>0</f>
        <v>0</v>
      </c>
      <c r="AI24" s="104">
        <f>0</f>
        <v>0</v>
      </c>
      <c r="AJ24" s="104">
        <f>0</f>
        <v>0</v>
      </c>
      <c r="AK24" s="104">
        <f>0</f>
        <v>0</v>
      </c>
      <c r="AL24" s="104">
        <f>0</f>
        <v>0</v>
      </c>
      <c r="AM24" s="104">
        <f>0</f>
        <v>0</v>
      </c>
      <c r="AN24" s="104">
        <f>0</f>
        <v>0</v>
      </c>
      <c r="AO24" s="104">
        <f>0</f>
        <v>0</v>
      </c>
    </row>
    <row r="25" spans="1:41" s="34" customFormat="1">
      <c r="A25" s="73">
        <v>6</v>
      </c>
      <c r="B25" s="53" t="s">
        <v>121</v>
      </c>
      <c r="C25" s="74">
        <f>2985925.5</f>
        <v>2985925.5</v>
      </c>
      <c r="D25" s="74">
        <f>2136043</f>
        <v>2136043</v>
      </c>
      <c r="E25" s="74">
        <f>1300786</f>
        <v>1300786</v>
      </c>
      <c r="F25" s="74">
        <f>1195634</f>
        <v>1195634</v>
      </c>
      <c r="G25" s="74">
        <f>1189495</f>
        <v>1189495</v>
      </c>
      <c r="H25" s="74">
        <f>1182122</f>
        <v>1182122</v>
      </c>
      <c r="I25" s="74">
        <f>1173451</f>
        <v>1173451</v>
      </c>
      <c r="J25" s="74">
        <f>0</f>
        <v>0</v>
      </c>
      <c r="K25" s="74">
        <f>0</f>
        <v>0</v>
      </c>
      <c r="L25" s="74">
        <f>0</f>
        <v>0</v>
      </c>
      <c r="M25" s="74">
        <f>0</f>
        <v>0</v>
      </c>
      <c r="N25" s="74">
        <f>0</f>
        <v>0</v>
      </c>
      <c r="O25" s="74">
        <f>0</f>
        <v>0</v>
      </c>
      <c r="P25" s="74">
        <f>0</f>
        <v>0</v>
      </c>
      <c r="Q25" s="74">
        <f>0</f>
        <v>0</v>
      </c>
      <c r="R25" s="74">
        <f>0</f>
        <v>0</v>
      </c>
      <c r="S25" s="74">
        <f>0</f>
        <v>0</v>
      </c>
      <c r="T25" s="74">
        <f>0</f>
        <v>0</v>
      </c>
      <c r="U25" s="74">
        <f>0</f>
        <v>0</v>
      </c>
      <c r="V25" s="74">
        <f>0</f>
        <v>0</v>
      </c>
      <c r="W25" s="74">
        <f>0</f>
        <v>0</v>
      </c>
      <c r="X25" s="74">
        <f>0</f>
        <v>0</v>
      </c>
      <c r="Y25" s="74">
        <f>0</f>
        <v>0</v>
      </c>
      <c r="Z25" s="74">
        <f>0</f>
        <v>0</v>
      </c>
      <c r="AA25" s="74">
        <f>0</f>
        <v>0</v>
      </c>
      <c r="AB25" s="74">
        <f>0</f>
        <v>0</v>
      </c>
      <c r="AC25" s="74">
        <f>0</f>
        <v>0</v>
      </c>
      <c r="AD25" s="74">
        <f>0</f>
        <v>0</v>
      </c>
      <c r="AE25" s="74">
        <f>0</f>
        <v>0</v>
      </c>
      <c r="AF25" s="74">
        <f>0</f>
        <v>0</v>
      </c>
      <c r="AG25" s="74">
        <f>0</f>
        <v>0</v>
      </c>
      <c r="AH25" s="74">
        <f>0</f>
        <v>0</v>
      </c>
      <c r="AI25" s="74">
        <f>0</f>
        <v>0</v>
      </c>
      <c r="AJ25" s="74">
        <f>0</f>
        <v>0</v>
      </c>
      <c r="AK25" s="74">
        <f>0</f>
        <v>0</v>
      </c>
      <c r="AL25" s="74">
        <f>0</f>
        <v>0</v>
      </c>
      <c r="AM25" s="74">
        <f>0</f>
        <v>0</v>
      </c>
      <c r="AN25" s="74">
        <f>0</f>
        <v>0</v>
      </c>
      <c r="AO25" s="74">
        <f>0</f>
        <v>0</v>
      </c>
    </row>
    <row r="26" spans="1:41" s="34" customFormat="1">
      <c r="A26" s="99">
        <v>7</v>
      </c>
      <c r="B26" s="100" t="s">
        <v>12</v>
      </c>
      <c r="C26" s="101">
        <f>772094</f>
        <v>772094</v>
      </c>
      <c r="D26" s="101">
        <f>472537.36</f>
        <v>472537.36</v>
      </c>
      <c r="E26" s="101">
        <f>573462</f>
        <v>573462</v>
      </c>
      <c r="F26" s="101">
        <f>472558</f>
        <v>472558</v>
      </c>
      <c r="G26" s="101">
        <f>450089</f>
        <v>450089</v>
      </c>
      <c r="H26" s="101">
        <f>409647</f>
        <v>409647</v>
      </c>
      <c r="I26" s="101">
        <f>152683</f>
        <v>152683</v>
      </c>
      <c r="J26" s="101">
        <f>0</f>
        <v>0</v>
      </c>
      <c r="K26" s="101">
        <f>0</f>
        <v>0</v>
      </c>
      <c r="L26" s="101">
        <f>0</f>
        <v>0</v>
      </c>
      <c r="M26" s="101">
        <f>0</f>
        <v>0</v>
      </c>
      <c r="N26" s="101">
        <f>0</f>
        <v>0</v>
      </c>
      <c r="O26" s="101">
        <f>0</f>
        <v>0</v>
      </c>
      <c r="P26" s="101">
        <f>0</f>
        <v>0</v>
      </c>
      <c r="Q26" s="101">
        <f>0</f>
        <v>0</v>
      </c>
      <c r="R26" s="101">
        <f>0</f>
        <v>0</v>
      </c>
      <c r="S26" s="101">
        <f>0</f>
        <v>0</v>
      </c>
      <c r="T26" s="101">
        <f>0</f>
        <v>0</v>
      </c>
      <c r="U26" s="101">
        <f>0</f>
        <v>0</v>
      </c>
      <c r="V26" s="101">
        <f>0</f>
        <v>0</v>
      </c>
      <c r="W26" s="101">
        <f>0</f>
        <v>0</v>
      </c>
      <c r="X26" s="101">
        <f>0</f>
        <v>0</v>
      </c>
      <c r="Y26" s="101">
        <f>0</f>
        <v>0</v>
      </c>
      <c r="Z26" s="101">
        <f>0</f>
        <v>0</v>
      </c>
      <c r="AA26" s="101">
        <f>0</f>
        <v>0</v>
      </c>
      <c r="AB26" s="101">
        <f>0</f>
        <v>0</v>
      </c>
      <c r="AC26" s="101">
        <f>0</f>
        <v>0</v>
      </c>
      <c r="AD26" s="101">
        <f>0</f>
        <v>0</v>
      </c>
      <c r="AE26" s="101">
        <f>0</f>
        <v>0</v>
      </c>
      <c r="AF26" s="101">
        <f>0</f>
        <v>0</v>
      </c>
      <c r="AG26" s="101">
        <f>0</f>
        <v>0</v>
      </c>
      <c r="AH26" s="101">
        <f>0</f>
        <v>0</v>
      </c>
      <c r="AI26" s="101">
        <f>0</f>
        <v>0</v>
      </c>
      <c r="AJ26" s="101">
        <f>0</f>
        <v>0</v>
      </c>
      <c r="AK26" s="101">
        <f>0</f>
        <v>0</v>
      </c>
      <c r="AL26" s="101">
        <f>0</f>
        <v>0</v>
      </c>
      <c r="AM26" s="101">
        <f>0</f>
        <v>0</v>
      </c>
      <c r="AN26" s="101">
        <f>0</f>
        <v>0</v>
      </c>
      <c r="AO26" s="101">
        <f>0</f>
        <v>0</v>
      </c>
    </row>
    <row r="27" spans="1:41" s="34" customFormat="1" ht="24">
      <c r="A27" s="78" t="s">
        <v>122</v>
      </c>
      <c r="B27" s="84" t="s">
        <v>159</v>
      </c>
      <c r="C27" s="80">
        <f>657094</f>
        <v>657094</v>
      </c>
      <c r="D27" s="80">
        <f>378687.36</f>
        <v>378687.36</v>
      </c>
      <c r="E27" s="80">
        <f>472887</f>
        <v>472887</v>
      </c>
      <c r="F27" s="80">
        <f>396751</f>
        <v>396751</v>
      </c>
      <c r="G27" s="80">
        <f>396751</f>
        <v>396751</v>
      </c>
      <c r="H27" s="80">
        <f>379678</f>
        <v>379678</v>
      </c>
      <c r="I27" s="80">
        <f>148818</f>
        <v>148818</v>
      </c>
      <c r="J27" s="80">
        <f>0</f>
        <v>0</v>
      </c>
      <c r="K27" s="80">
        <f>0</f>
        <v>0</v>
      </c>
      <c r="L27" s="80">
        <f>0</f>
        <v>0</v>
      </c>
      <c r="M27" s="80">
        <f>0</f>
        <v>0</v>
      </c>
      <c r="N27" s="80">
        <f>0</f>
        <v>0</v>
      </c>
      <c r="O27" s="80">
        <f>0</f>
        <v>0</v>
      </c>
      <c r="P27" s="80">
        <f>0</f>
        <v>0</v>
      </c>
      <c r="Q27" s="80">
        <f>0</f>
        <v>0</v>
      </c>
      <c r="R27" s="80">
        <f>0</f>
        <v>0</v>
      </c>
      <c r="S27" s="80">
        <f>0</f>
        <v>0</v>
      </c>
      <c r="T27" s="80">
        <f>0</f>
        <v>0</v>
      </c>
      <c r="U27" s="80">
        <f>0</f>
        <v>0</v>
      </c>
      <c r="V27" s="80">
        <f>0</f>
        <v>0</v>
      </c>
      <c r="W27" s="80">
        <f>0</f>
        <v>0</v>
      </c>
      <c r="X27" s="80">
        <f>0</f>
        <v>0</v>
      </c>
      <c r="Y27" s="80">
        <f>0</f>
        <v>0</v>
      </c>
      <c r="Z27" s="80">
        <f>0</f>
        <v>0</v>
      </c>
      <c r="AA27" s="80">
        <f>0</f>
        <v>0</v>
      </c>
      <c r="AB27" s="80">
        <f>0</f>
        <v>0</v>
      </c>
      <c r="AC27" s="80">
        <f>0</f>
        <v>0</v>
      </c>
      <c r="AD27" s="80">
        <f>0</f>
        <v>0</v>
      </c>
      <c r="AE27" s="80">
        <f>0</f>
        <v>0</v>
      </c>
      <c r="AF27" s="80">
        <f>0</f>
        <v>0</v>
      </c>
      <c r="AG27" s="80">
        <f>0</f>
        <v>0</v>
      </c>
      <c r="AH27" s="80">
        <f>0</f>
        <v>0</v>
      </c>
      <c r="AI27" s="80">
        <f>0</f>
        <v>0</v>
      </c>
      <c r="AJ27" s="80">
        <f>0</f>
        <v>0</v>
      </c>
      <c r="AK27" s="80">
        <f>0</f>
        <v>0</v>
      </c>
      <c r="AL27" s="80">
        <f>0</f>
        <v>0</v>
      </c>
      <c r="AM27" s="80">
        <f>0</f>
        <v>0</v>
      </c>
      <c r="AN27" s="80">
        <f>0</f>
        <v>0</v>
      </c>
      <c r="AO27" s="80">
        <f>0</f>
        <v>0</v>
      </c>
    </row>
    <row r="28" spans="1:41" s="34" customFormat="1" ht="24">
      <c r="A28" s="78" t="s">
        <v>124</v>
      </c>
      <c r="B28" s="81" t="s">
        <v>157</v>
      </c>
      <c r="C28" s="80">
        <f>304294</f>
        <v>304294</v>
      </c>
      <c r="D28" s="80">
        <f>0</f>
        <v>0</v>
      </c>
      <c r="E28" s="80">
        <f>0</f>
        <v>0</v>
      </c>
      <c r="F28" s="80">
        <f>0</f>
        <v>0</v>
      </c>
      <c r="G28" s="80">
        <f>0</f>
        <v>0</v>
      </c>
      <c r="H28" s="80">
        <f>0</f>
        <v>0</v>
      </c>
      <c r="I28" s="80">
        <f>0</f>
        <v>0</v>
      </c>
      <c r="J28" s="80">
        <f>0</f>
        <v>0</v>
      </c>
      <c r="K28" s="80">
        <f>0</f>
        <v>0</v>
      </c>
      <c r="L28" s="80">
        <f>0</f>
        <v>0</v>
      </c>
      <c r="M28" s="80">
        <f>0</f>
        <v>0</v>
      </c>
      <c r="N28" s="80">
        <f>0</f>
        <v>0</v>
      </c>
      <c r="O28" s="80">
        <f>0</f>
        <v>0</v>
      </c>
      <c r="P28" s="80">
        <f>0</f>
        <v>0</v>
      </c>
      <c r="Q28" s="80">
        <f>0</f>
        <v>0</v>
      </c>
      <c r="R28" s="80">
        <f>0</f>
        <v>0</v>
      </c>
      <c r="S28" s="80">
        <f>0</f>
        <v>0</v>
      </c>
      <c r="T28" s="80">
        <f>0</f>
        <v>0</v>
      </c>
      <c r="U28" s="80">
        <f>0</f>
        <v>0</v>
      </c>
      <c r="V28" s="80">
        <f>0</f>
        <v>0</v>
      </c>
      <c r="W28" s="80">
        <f>0</f>
        <v>0</v>
      </c>
      <c r="X28" s="80">
        <f>0</f>
        <v>0</v>
      </c>
      <c r="Y28" s="80">
        <f>0</f>
        <v>0</v>
      </c>
      <c r="Z28" s="80">
        <f>0</f>
        <v>0</v>
      </c>
      <c r="AA28" s="80">
        <f>0</f>
        <v>0</v>
      </c>
      <c r="AB28" s="80">
        <f>0</f>
        <v>0</v>
      </c>
      <c r="AC28" s="80">
        <f>0</f>
        <v>0</v>
      </c>
      <c r="AD28" s="80">
        <f>0</f>
        <v>0</v>
      </c>
      <c r="AE28" s="80">
        <f>0</f>
        <v>0</v>
      </c>
      <c r="AF28" s="80">
        <f>0</f>
        <v>0</v>
      </c>
      <c r="AG28" s="80">
        <f>0</f>
        <v>0</v>
      </c>
      <c r="AH28" s="80">
        <f>0</f>
        <v>0</v>
      </c>
      <c r="AI28" s="80">
        <f>0</f>
        <v>0</v>
      </c>
      <c r="AJ28" s="80">
        <f>0</f>
        <v>0</v>
      </c>
      <c r="AK28" s="80">
        <f>0</f>
        <v>0</v>
      </c>
      <c r="AL28" s="80">
        <f>0</f>
        <v>0</v>
      </c>
      <c r="AM28" s="80">
        <f>0</f>
        <v>0</v>
      </c>
      <c r="AN28" s="80">
        <f>0</f>
        <v>0</v>
      </c>
      <c r="AO28" s="80">
        <f>0</f>
        <v>0</v>
      </c>
    </row>
    <row r="29" spans="1:41" s="34" customFormat="1">
      <c r="A29" s="78" t="s">
        <v>126</v>
      </c>
      <c r="B29" s="79" t="s">
        <v>160</v>
      </c>
      <c r="C29" s="80">
        <f>115000</f>
        <v>115000</v>
      </c>
      <c r="D29" s="80">
        <f>93850</f>
        <v>93850</v>
      </c>
      <c r="E29" s="80">
        <f>100575</f>
        <v>100575</v>
      </c>
      <c r="F29" s="80">
        <f>75807</f>
        <v>75807</v>
      </c>
      <c r="G29" s="80">
        <f>53338</f>
        <v>53338</v>
      </c>
      <c r="H29" s="80">
        <f>29969</f>
        <v>29969</v>
      </c>
      <c r="I29" s="80">
        <f>3865</f>
        <v>3865</v>
      </c>
      <c r="J29" s="80">
        <f>0</f>
        <v>0</v>
      </c>
      <c r="K29" s="80">
        <f>0</f>
        <v>0</v>
      </c>
      <c r="L29" s="80">
        <f>0</f>
        <v>0</v>
      </c>
      <c r="M29" s="80">
        <f>0</f>
        <v>0</v>
      </c>
      <c r="N29" s="80">
        <f>0</f>
        <v>0</v>
      </c>
      <c r="O29" s="80">
        <f>0</f>
        <v>0</v>
      </c>
      <c r="P29" s="80">
        <f>0</f>
        <v>0</v>
      </c>
      <c r="Q29" s="80">
        <f>0</f>
        <v>0</v>
      </c>
      <c r="R29" s="80">
        <f>0</f>
        <v>0</v>
      </c>
      <c r="S29" s="80">
        <f>0</f>
        <v>0</v>
      </c>
      <c r="T29" s="80">
        <f>0</f>
        <v>0</v>
      </c>
      <c r="U29" s="80">
        <f>0</f>
        <v>0</v>
      </c>
      <c r="V29" s="80">
        <f>0</f>
        <v>0</v>
      </c>
      <c r="W29" s="80">
        <f>0</f>
        <v>0</v>
      </c>
      <c r="X29" s="80">
        <f>0</f>
        <v>0</v>
      </c>
      <c r="Y29" s="80">
        <f>0</f>
        <v>0</v>
      </c>
      <c r="Z29" s="80">
        <f>0</f>
        <v>0</v>
      </c>
      <c r="AA29" s="80">
        <f>0</f>
        <v>0</v>
      </c>
      <c r="AB29" s="80">
        <f>0</f>
        <v>0</v>
      </c>
      <c r="AC29" s="80">
        <f>0</f>
        <v>0</v>
      </c>
      <c r="AD29" s="80">
        <f>0</f>
        <v>0</v>
      </c>
      <c r="AE29" s="80">
        <f>0</f>
        <v>0</v>
      </c>
      <c r="AF29" s="80">
        <f>0</f>
        <v>0</v>
      </c>
      <c r="AG29" s="80">
        <f>0</f>
        <v>0</v>
      </c>
      <c r="AH29" s="80">
        <f>0</f>
        <v>0</v>
      </c>
      <c r="AI29" s="80">
        <f>0</f>
        <v>0</v>
      </c>
      <c r="AJ29" s="80">
        <f>0</f>
        <v>0</v>
      </c>
      <c r="AK29" s="80">
        <f>0</f>
        <v>0</v>
      </c>
      <c r="AL29" s="80">
        <f>0</f>
        <v>0</v>
      </c>
      <c r="AM29" s="80">
        <f>0</f>
        <v>0</v>
      </c>
      <c r="AN29" s="80">
        <f>0</f>
        <v>0</v>
      </c>
      <c r="AO29" s="80">
        <f>0</f>
        <v>0</v>
      </c>
    </row>
    <row r="30" spans="1:41" s="34" customFormat="1">
      <c r="A30" s="102" t="s">
        <v>128</v>
      </c>
      <c r="B30" s="103" t="s">
        <v>158</v>
      </c>
      <c r="C30" s="104">
        <f>115000</f>
        <v>115000</v>
      </c>
      <c r="D30" s="104">
        <f>93850</f>
        <v>93850</v>
      </c>
      <c r="E30" s="104">
        <f>100575</f>
        <v>100575</v>
      </c>
      <c r="F30" s="104">
        <f>75807</f>
        <v>75807</v>
      </c>
      <c r="G30" s="104">
        <f>53338</f>
        <v>53338</v>
      </c>
      <c r="H30" s="104">
        <f>29969</f>
        <v>29969</v>
      </c>
      <c r="I30" s="104">
        <f>3865</f>
        <v>3865</v>
      </c>
      <c r="J30" s="104">
        <f>0</f>
        <v>0</v>
      </c>
      <c r="K30" s="104">
        <f>0</f>
        <v>0</v>
      </c>
      <c r="L30" s="104">
        <f>0</f>
        <v>0</v>
      </c>
      <c r="M30" s="104">
        <f>0</f>
        <v>0</v>
      </c>
      <c r="N30" s="104">
        <f>0</f>
        <v>0</v>
      </c>
      <c r="O30" s="104">
        <f>0</f>
        <v>0</v>
      </c>
      <c r="P30" s="104">
        <f>0</f>
        <v>0</v>
      </c>
      <c r="Q30" s="104">
        <f>0</f>
        <v>0</v>
      </c>
      <c r="R30" s="104">
        <f>0</f>
        <v>0</v>
      </c>
      <c r="S30" s="104">
        <f>0</f>
        <v>0</v>
      </c>
      <c r="T30" s="104">
        <f>0</f>
        <v>0</v>
      </c>
      <c r="U30" s="104">
        <f>0</f>
        <v>0</v>
      </c>
      <c r="V30" s="104">
        <f>0</f>
        <v>0</v>
      </c>
      <c r="W30" s="104">
        <f>0</f>
        <v>0</v>
      </c>
      <c r="X30" s="104">
        <f>0</f>
        <v>0</v>
      </c>
      <c r="Y30" s="104">
        <f>0</f>
        <v>0</v>
      </c>
      <c r="Z30" s="104">
        <f>0</f>
        <v>0</v>
      </c>
      <c r="AA30" s="104">
        <f>0</f>
        <v>0</v>
      </c>
      <c r="AB30" s="104">
        <f>0</f>
        <v>0</v>
      </c>
      <c r="AC30" s="104">
        <f>0</f>
        <v>0</v>
      </c>
      <c r="AD30" s="104">
        <f>0</f>
        <v>0</v>
      </c>
      <c r="AE30" s="104">
        <f>0</f>
        <v>0</v>
      </c>
      <c r="AF30" s="104">
        <f>0</f>
        <v>0</v>
      </c>
      <c r="AG30" s="104">
        <f>0</f>
        <v>0</v>
      </c>
      <c r="AH30" s="104">
        <f>0</f>
        <v>0</v>
      </c>
      <c r="AI30" s="104">
        <f>0</f>
        <v>0</v>
      </c>
      <c r="AJ30" s="104">
        <f>0</f>
        <v>0</v>
      </c>
      <c r="AK30" s="104">
        <f>0</f>
        <v>0</v>
      </c>
      <c r="AL30" s="104">
        <f>0</f>
        <v>0</v>
      </c>
      <c r="AM30" s="104">
        <f>0</f>
        <v>0</v>
      </c>
      <c r="AN30" s="104">
        <f>0</f>
        <v>0</v>
      </c>
      <c r="AO30" s="104">
        <f>0</f>
        <v>0</v>
      </c>
    </row>
    <row r="31" spans="1:41" s="34" customFormat="1">
      <c r="A31" s="73">
        <v>8</v>
      </c>
      <c r="B31" s="75" t="s">
        <v>130</v>
      </c>
      <c r="C31" s="74">
        <f>0</f>
        <v>0</v>
      </c>
      <c r="D31" s="74">
        <f>0</f>
        <v>0</v>
      </c>
      <c r="E31" s="74">
        <f>0</f>
        <v>0</v>
      </c>
      <c r="F31" s="74">
        <f>0</f>
        <v>0</v>
      </c>
      <c r="G31" s="74">
        <f>0</f>
        <v>0</v>
      </c>
      <c r="H31" s="74">
        <f>0</f>
        <v>0</v>
      </c>
      <c r="I31" s="74">
        <f>0</f>
        <v>0</v>
      </c>
      <c r="J31" s="74">
        <f>0</f>
        <v>0</v>
      </c>
      <c r="K31" s="74">
        <f>0</f>
        <v>0</v>
      </c>
      <c r="L31" s="74">
        <f>0</f>
        <v>0</v>
      </c>
      <c r="M31" s="74">
        <f>0</f>
        <v>0</v>
      </c>
      <c r="N31" s="74">
        <f>0</f>
        <v>0</v>
      </c>
      <c r="O31" s="74">
        <f>0</f>
        <v>0</v>
      </c>
      <c r="P31" s="74">
        <f>0</f>
        <v>0</v>
      </c>
      <c r="Q31" s="74">
        <f>0</f>
        <v>0</v>
      </c>
      <c r="R31" s="74">
        <f>0</f>
        <v>0</v>
      </c>
      <c r="S31" s="74">
        <f>0</f>
        <v>0</v>
      </c>
      <c r="T31" s="74">
        <f>0</f>
        <v>0</v>
      </c>
      <c r="U31" s="74">
        <f>0</f>
        <v>0</v>
      </c>
      <c r="V31" s="74">
        <f>0</f>
        <v>0</v>
      </c>
      <c r="W31" s="74">
        <f>0</f>
        <v>0</v>
      </c>
      <c r="X31" s="74">
        <f>0</f>
        <v>0</v>
      </c>
      <c r="Y31" s="74">
        <f>0</f>
        <v>0</v>
      </c>
      <c r="Z31" s="74">
        <f>0</f>
        <v>0</v>
      </c>
      <c r="AA31" s="74">
        <f>0</f>
        <v>0</v>
      </c>
      <c r="AB31" s="74">
        <f>0</f>
        <v>0</v>
      </c>
      <c r="AC31" s="74">
        <f>0</f>
        <v>0</v>
      </c>
      <c r="AD31" s="74">
        <f>0</f>
        <v>0</v>
      </c>
      <c r="AE31" s="74">
        <f>0</f>
        <v>0</v>
      </c>
      <c r="AF31" s="74">
        <f>0</f>
        <v>0</v>
      </c>
      <c r="AG31" s="74">
        <f>0</f>
        <v>0</v>
      </c>
      <c r="AH31" s="74">
        <f>0</f>
        <v>0</v>
      </c>
      <c r="AI31" s="74">
        <f>0</f>
        <v>0</v>
      </c>
      <c r="AJ31" s="74">
        <f>0</f>
        <v>0</v>
      </c>
      <c r="AK31" s="74">
        <f>0</f>
        <v>0</v>
      </c>
      <c r="AL31" s="74">
        <f>0</f>
        <v>0</v>
      </c>
      <c r="AM31" s="74">
        <f>0</f>
        <v>0</v>
      </c>
      <c r="AN31" s="74">
        <f>0</f>
        <v>0</v>
      </c>
      <c r="AO31" s="74">
        <f>0</f>
        <v>0</v>
      </c>
    </row>
    <row r="32" spans="1:41" s="34" customFormat="1">
      <c r="A32" s="73">
        <v>9</v>
      </c>
      <c r="B32" s="53" t="s">
        <v>131</v>
      </c>
      <c r="C32" s="74">
        <f>2213831.5</f>
        <v>2213831.5</v>
      </c>
      <c r="D32" s="74">
        <f>1663505.64</f>
        <v>1663505.64</v>
      </c>
      <c r="E32" s="74">
        <f>727324</f>
        <v>727324</v>
      </c>
      <c r="F32" s="74">
        <f>723076</f>
        <v>723076</v>
      </c>
      <c r="G32" s="74">
        <f>739406</f>
        <v>739406</v>
      </c>
      <c r="H32" s="74">
        <f>772475</f>
        <v>772475</v>
      </c>
      <c r="I32" s="74">
        <f>1020768</f>
        <v>1020768</v>
      </c>
      <c r="J32" s="74">
        <f>0</f>
        <v>0</v>
      </c>
      <c r="K32" s="74">
        <f>0</f>
        <v>0</v>
      </c>
      <c r="L32" s="74">
        <f>0</f>
        <v>0</v>
      </c>
      <c r="M32" s="74">
        <f>0</f>
        <v>0</v>
      </c>
      <c r="N32" s="74">
        <f>0</f>
        <v>0</v>
      </c>
      <c r="O32" s="74">
        <f>0</f>
        <v>0</v>
      </c>
      <c r="P32" s="74">
        <f>0</f>
        <v>0</v>
      </c>
      <c r="Q32" s="74">
        <f>0</f>
        <v>0</v>
      </c>
      <c r="R32" s="74">
        <f>0</f>
        <v>0</v>
      </c>
      <c r="S32" s="74">
        <f>0</f>
        <v>0</v>
      </c>
      <c r="T32" s="74">
        <f>0</f>
        <v>0</v>
      </c>
      <c r="U32" s="74">
        <f>0</f>
        <v>0</v>
      </c>
      <c r="V32" s="74">
        <f>0</f>
        <v>0</v>
      </c>
      <c r="W32" s="74">
        <f>0</f>
        <v>0</v>
      </c>
      <c r="X32" s="74">
        <f>0</f>
        <v>0</v>
      </c>
      <c r="Y32" s="74">
        <f>0</f>
        <v>0</v>
      </c>
      <c r="Z32" s="74">
        <f>0</f>
        <v>0</v>
      </c>
      <c r="AA32" s="74">
        <f>0</f>
        <v>0</v>
      </c>
      <c r="AB32" s="74">
        <f>0</f>
        <v>0</v>
      </c>
      <c r="AC32" s="74">
        <f>0</f>
        <v>0</v>
      </c>
      <c r="AD32" s="74">
        <f>0</f>
        <v>0</v>
      </c>
      <c r="AE32" s="74">
        <f>0</f>
        <v>0</v>
      </c>
      <c r="AF32" s="74">
        <f>0</f>
        <v>0</v>
      </c>
      <c r="AG32" s="74">
        <f>0</f>
        <v>0</v>
      </c>
      <c r="AH32" s="74">
        <f>0</f>
        <v>0</v>
      </c>
      <c r="AI32" s="74">
        <f>0</f>
        <v>0</v>
      </c>
      <c r="AJ32" s="74">
        <f>0</f>
        <v>0</v>
      </c>
      <c r="AK32" s="74">
        <f>0</f>
        <v>0</v>
      </c>
      <c r="AL32" s="74">
        <f>0</f>
        <v>0</v>
      </c>
      <c r="AM32" s="74">
        <f>0</f>
        <v>0</v>
      </c>
      <c r="AN32" s="74">
        <f>0</f>
        <v>0</v>
      </c>
      <c r="AO32" s="74">
        <f>0</f>
        <v>0</v>
      </c>
    </row>
    <row r="33" spans="1:41" s="34" customFormat="1">
      <c r="A33" s="99">
        <v>10</v>
      </c>
      <c r="B33" s="100" t="s">
        <v>18</v>
      </c>
      <c r="C33" s="101">
        <f>2263831.5</f>
        <v>2263831.5</v>
      </c>
      <c r="D33" s="101">
        <f>2123505.64</f>
        <v>2123505.64</v>
      </c>
      <c r="E33" s="101">
        <f>727324</f>
        <v>727324</v>
      </c>
      <c r="F33" s="101">
        <f>723076</f>
        <v>723076</v>
      </c>
      <c r="G33" s="101">
        <f>739406</f>
        <v>739406</v>
      </c>
      <c r="H33" s="101">
        <f>772475</f>
        <v>772475</v>
      </c>
      <c r="I33" s="101">
        <f>1020768</f>
        <v>1020768</v>
      </c>
      <c r="J33" s="101">
        <f>0</f>
        <v>0</v>
      </c>
      <c r="K33" s="101">
        <f>0</f>
        <v>0</v>
      </c>
      <c r="L33" s="101">
        <f>0</f>
        <v>0</v>
      </c>
      <c r="M33" s="101">
        <f>0</f>
        <v>0</v>
      </c>
      <c r="N33" s="101">
        <f>0</f>
        <v>0</v>
      </c>
      <c r="O33" s="101">
        <f>0</f>
        <v>0</v>
      </c>
      <c r="P33" s="101">
        <f>0</f>
        <v>0</v>
      </c>
      <c r="Q33" s="101">
        <f>0</f>
        <v>0</v>
      </c>
      <c r="R33" s="101">
        <f>0</f>
        <v>0</v>
      </c>
      <c r="S33" s="101">
        <f>0</f>
        <v>0</v>
      </c>
      <c r="T33" s="101">
        <f>0</f>
        <v>0</v>
      </c>
      <c r="U33" s="101">
        <f>0</f>
        <v>0</v>
      </c>
      <c r="V33" s="101">
        <f>0</f>
        <v>0</v>
      </c>
      <c r="W33" s="101">
        <f>0</f>
        <v>0</v>
      </c>
      <c r="X33" s="101">
        <f>0</f>
        <v>0</v>
      </c>
      <c r="Y33" s="101">
        <f>0</f>
        <v>0</v>
      </c>
      <c r="Z33" s="101">
        <f>0</f>
        <v>0</v>
      </c>
      <c r="AA33" s="101">
        <f>0</f>
        <v>0</v>
      </c>
      <c r="AB33" s="101">
        <f>0</f>
        <v>0</v>
      </c>
      <c r="AC33" s="101">
        <f>0</f>
        <v>0</v>
      </c>
      <c r="AD33" s="101">
        <f>0</f>
        <v>0</v>
      </c>
      <c r="AE33" s="101">
        <f>0</f>
        <v>0</v>
      </c>
      <c r="AF33" s="101">
        <f>0</f>
        <v>0</v>
      </c>
      <c r="AG33" s="101">
        <f>0</f>
        <v>0</v>
      </c>
      <c r="AH33" s="101">
        <f>0</f>
        <v>0</v>
      </c>
      <c r="AI33" s="101">
        <f>0</f>
        <v>0</v>
      </c>
      <c r="AJ33" s="101">
        <f>0</f>
        <v>0</v>
      </c>
      <c r="AK33" s="101">
        <f>0</f>
        <v>0</v>
      </c>
      <c r="AL33" s="101">
        <f>0</f>
        <v>0</v>
      </c>
      <c r="AM33" s="101">
        <f>0</f>
        <v>0</v>
      </c>
      <c r="AN33" s="101">
        <f>0</f>
        <v>0</v>
      </c>
      <c r="AO33" s="101">
        <f>0</f>
        <v>0</v>
      </c>
    </row>
    <row r="34" spans="1:41" s="34" customFormat="1">
      <c r="A34" s="78" t="s">
        <v>132</v>
      </c>
      <c r="B34" s="79" t="s">
        <v>161</v>
      </c>
      <c r="C34" s="80">
        <f>868684.67</f>
        <v>868684.67</v>
      </c>
      <c r="D34" s="80">
        <f>1448229.53</f>
        <v>1448229.53</v>
      </c>
      <c r="E34" s="80">
        <f>0</f>
        <v>0</v>
      </c>
      <c r="F34" s="80">
        <f>0</f>
        <v>0</v>
      </c>
      <c r="G34" s="80">
        <f>0</f>
        <v>0</v>
      </c>
      <c r="H34" s="80">
        <f>0</f>
        <v>0</v>
      </c>
      <c r="I34" s="80">
        <f>0</f>
        <v>0</v>
      </c>
      <c r="J34" s="80">
        <f>0</f>
        <v>0</v>
      </c>
      <c r="K34" s="80">
        <f>0</f>
        <v>0</v>
      </c>
      <c r="L34" s="80">
        <f>0</f>
        <v>0</v>
      </c>
      <c r="M34" s="80">
        <f>0</f>
        <v>0</v>
      </c>
      <c r="N34" s="80">
        <f>0</f>
        <v>0</v>
      </c>
      <c r="O34" s="80">
        <f>0</f>
        <v>0</v>
      </c>
      <c r="P34" s="80">
        <f>0</f>
        <v>0</v>
      </c>
      <c r="Q34" s="80">
        <f>0</f>
        <v>0</v>
      </c>
      <c r="R34" s="80">
        <f>0</f>
        <v>0</v>
      </c>
      <c r="S34" s="80">
        <f>0</f>
        <v>0</v>
      </c>
      <c r="T34" s="80">
        <f>0</f>
        <v>0</v>
      </c>
      <c r="U34" s="80">
        <f>0</f>
        <v>0</v>
      </c>
      <c r="V34" s="80">
        <f>0</f>
        <v>0</v>
      </c>
      <c r="W34" s="80">
        <f>0</f>
        <v>0</v>
      </c>
      <c r="X34" s="80">
        <f>0</f>
        <v>0</v>
      </c>
      <c r="Y34" s="80">
        <f>0</f>
        <v>0</v>
      </c>
      <c r="Z34" s="80">
        <f>0</f>
        <v>0</v>
      </c>
      <c r="AA34" s="80">
        <f>0</f>
        <v>0</v>
      </c>
      <c r="AB34" s="80">
        <f>0</f>
        <v>0</v>
      </c>
      <c r="AC34" s="80">
        <f>0</f>
        <v>0</v>
      </c>
      <c r="AD34" s="80">
        <f>0</f>
        <v>0</v>
      </c>
      <c r="AE34" s="80">
        <f>0</f>
        <v>0</v>
      </c>
      <c r="AF34" s="80">
        <f>0</f>
        <v>0</v>
      </c>
      <c r="AG34" s="80">
        <f>0</f>
        <v>0</v>
      </c>
      <c r="AH34" s="80">
        <f>0</f>
        <v>0</v>
      </c>
      <c r="AI34" s="80">
        <f>0</f>
        <v>0</v>
      </c>
      <c r="AJ34" s="80">
        <f>0</f>
        <v>0</v>
      </c>
      <c r="AK34" s="80">
        <f>0</f>
        <v>0</v>
      </c>
      <c r="AL34" s="80">
        <f>0</f>
        <v>0</v>
      </c>
      <c r="AM34" s="80">
        <f>0</f>
        <v>0</v>
      </c>
      <c r="AN34" s="80">
        <f>0</f>
        <v>0</v>
      </c>
      <c r="AO34" s="80">
        <f>0</f>
        <v>0</v>
      </c>
    </row>
    <row r="35" spans="1:41" s="34" customFormat="1" ht="24">
      <c r="A35" s="102" t="s">
        <v>134</v>
      </c>
      <c r="B35" s="105" t="s">
        <v>154</v>
      </c>
      <c r="C35" s="104">
        <f>781422.17</f>
        <v>781422.17</v>
      </c>
      <c r="D35" s="104">
        <f>1429742.03</f>
        <v>1429742.03</v>
      </c>
      <c r="E35" s="104">
        <f>0</f>
        <v>0</v>
      </c>
      <c r="F35" s="104">
        <f>0</f>
        <v>0</v>
      </c>
      <c r="G35" s="104">
        <f>0</f>
        <v>0</v>
      </c>
      <c r="H35" s="104">
        <f>0</f>
        <v>0</v>
      </c>
      <c r="I35" s="104">
        <f>0</f>
        <v>0</v>
      </c>
      <c r="J35" s="104">
        <f>0</f>
        <v>0</v>
      </c>
      <c r="K35" s="104">
        <f>0</f>
        <v>0</v>
      </c>
      <c r="L35" s="104">
        <f>0</f>
        <v>0</v>
      </c>
      <c r="M35" s="104">
        <f>0</f>
        <v>0</v>
      </c>
      <c r="N35" s="104">
        <f>0</f>
        <v>0</v>
      </c>
      <c r="O35" s="104">
        <f>0</f>
        <v>0</v>
      </c>
      <c r="P35" s="104">
        <f>0</f>
        <v>0</v>
      </c>
      <c r="Q35" s="104">
        <f>0</f>
        <v>0</v>
      </c>
      <c r="R35" s="104">
        <f>0</f>
        <v>0</v>
      </c>
      <c r="S35" s="104">
        <f>0</f>
        <v>0</v>
      </c>
      <c r="T35" s="104">
        <f>0</f>
        <v>0</v>
      </c>
      <c r="U35" s="104">
        <f>0</f>
        <v>0</v>
      </c>
      <c r="V35" s="104">
        <f>0</f>
        <v>0</v>
      </c>
      <c r="W35" s="104">
        <f>0</f>
        <v>0</v>
      </c>
      <c r="X35" s="104">
        <f>0</f>
        <v>0</v>
      </c>
      <c r="Y35" s="104">
        <f>0</f>
        <v>0</v>
      </c>
      <c r="Z35" s="104">
        <f>0</f>
        <v>0</v>
      </c>
      <c r="AA35" s="104">
        <f>0</f>
        <v>0</v>
      </c>
      <c r="AB35" s="104">
        <f>0</f>
        <v>0</v>
      </c>
      <c r="AC35" s="104">
        <f>0</f>
        <v>0</v>
      </c>
      <c r="AD35" s="104">
        <f>0</f>
        <v>0</v>
      </c>
      <c r="AE35" s="104">
        <f>0</f>
        <v>0</v>
      </c>
      <c r="AF35" s="104">
        <f>0</f>
        <v>0</v>
      </c>
      <c r="AG35" s="104">
        <f>0</f>
        <v>0</v>
      </c>
      <c r="AH35" s="104">
        <f>0</f>
        <v>0</v>
      </c>
      <c r="AI35" s="104">
        <f>0</f>
        <v>0</v>
      </c>
      <c r="AJ35" s="104">
        <f>0</f>
        <v>0</v>
      </c>
      <c r="AK35" s="104">
        <f>0</f>
        <v>0</v>
      </c>
      <c r="AL35" s="104">
        <f>0</f>
        <v>0</v>
      </c>
      <c r="AM35" s="104">
        <f>0</f>
        <v>0</v>
      </c>
      <c r="AN35" s="104">
        <f>0</f>
        <v>0</v>
      </c>
      <c r="AO35" s="104">
        <f>0</f>
        <v>0</v>
      </c>
    </row>
    <row r="36" spans="1:41" s="34" customFormat="1">
      <c r="A36" s="99">
        <v>11</v>
      </c>
      <c r="B36" s="100" t="s">
        <v>62</v>
      </c>
      <c r="C36" s="107">
        <f>50000</f>
        <v>50000</v>
      </c>
      <c r="D36" s="107">
        <f>460000</f>
        <v>460000</v>
      </c>
      <c r="E36" s="107">
        <f>0</f>
        <v>0</v>
      </c>
      <c r="F36" s="107">
        <f>0</f>
        <v>0</v>
      </c>
      <c r="G36" s="107">
        <f>0</f>
        <v>0</v>
      </c>
      <c r="H36" s="107">
        <f>0</f>
        <v>0</v>
      </c>
      <c r="I36" s="107">
        <f>0</f>
        <v>0</v>
      </c>
      <c r="J36" s="107">
        <f>0</f>
        <v>0</v>
      </c>
      <c r="K36" s="107">
        <f>0</f>
        <v>0</v>
      </c>
      <c r="L36" s="107">
        <f>0</f>
        <v>0</v>
      </c>
      <c r="M36" s="107">
        <f>0</f>
        <v>0</v>
      </c>
      <c r="N36" s="107">
        <f>0</f>
        <v>0</v>
      </c>
      <c r="O36" s="107">
        <f>0</f>
        <v>0</v>
      </c>
      <c r="P36" s="107">
        <f>0</f>
        <v>0</v>
      </c>
      <c r="Q36" s="107">
        <f>0</f>
        <v>0</v>
      </c>
      <c r="R36" s="107">
        <f>0</f>
        <v>0</v>
      </c>
      <c r="S36" s="107">
        <f>0</f>
        <v>0</v>
      </c>
      <c r="T36" s="107">
        <f>0</f>
        <v>0</v>
      </c>
      <c r="U36" s="107">
        <f>0</f>
        <v>0</v>
      </c>
      <c r="V36" s="107">
        <f>0</f>
        <v>0</v>
      </c>
      <c r="W36" s="107">
        <f>0</f>
        <v>0</v>
      </c>
      <c r="X36" s="107">
        <f>0</f>
        <v>0</v>
      </c>
      <c r="Y36" s="107">
        <f>0</f>
        <v>0</v>
      </c>
      <c r="Z36" s="107">
        <f>0</f>
        <v>0</v>
      </c>
      <c r="AA36" s="107">
        <f>0</f>
        <v>0</v>
      </c>
      <c r="AB36" s="107">
        <f>0</f>
        <v>0</v>
      </c>
      <c r="AC36" s="107">
        <f>0</f>
        <v>0</v>
      </c>
      <c r="AD36" s="107">
        <f>0</f>
        <v>0</v>
      </c>
      <c r="AE36" s="107">
        <f>0</f>
        <v>0</v>
      </c>
      <c r="AF36" s="107">
        <f>0</f>
        <v>0</v>
      </c>
      <c r="AG36" s="107">
        <f>0</f>
        <v>0</v>
      </c>
      <c r="AH36" s="107">
        <f>0</f>
        <v>0</v>
      </c>
      <c r="AI36" s="107">
        <f>0</f>
        <v>0</v>
      </c>
      <c r="AJ36" s="107">
        <f>0</f>
        <v>0</v>
      </c>
      <c r="AK36" s="107">
        <f>0</f>
        <v>0</v>
      </c>
      <c r="AL36" s="107">
        <f>0</f>
        <v>0</v>
      </c>
      <c r="AM36" s="107">
        <f>0</f>
        <v>0</v>
      </c>
      <c r="AN36" s="107">
        <f>0</f>
        <v>0</v>
      </c>
      <c r="AO36" s="107">
        <f>0</f>
        <v>0</v>
      </c>
    </row>
    <row r="37" spans="1:41" s="34" customFormat="1">
      <c r="A37" s="102" t="s">
        <v>135</v>
      </c>
      <c r="B37" s="105" t="s">
        <v>61</v>
      </c>
      <c r="C37" s="108">
        <f>0</f>
        <v>0</v>
      </c>
      <c r="D37" s="108">
        <f>81312.64</f>
        <v>81312.639999999999</v>
      </c>
      <c r="E37" s="108">
        <f>0</f>
        <v>0</v>
      </c>
      <c r="F37" s="108">
        <f>0</f>
        <v>0</v>
      </c>
      <c r="G37" s="108">
        <f>0</f>
        <v>0</v>
      </c>
      <c r="H37" s="108">
        <f>0</f>
        <v>0</v>
      </c>
      <c r="I37" s="108">
        <f>0</f>
        <v>0</v>
      </c>
      <c r="J37" s="108">
        <f>0</f>
        <v>0</v>
      </c>
      <c r="K37" s="108">
        <f>0</f>
        <v>0</v>
      </c>
      <c r="L37" s="108">
        <f>0</f>
        <v>0</v>
      </c>
      <c r="M37" s="108">
        <f>0</f>
        <v>0</v>
      </c>
      <c r="N37" s="108">
        <f>0</f>
        <v>0</v>
      </c>
      <c r="O37" s="108">
        <f>0</f>
        <v>0</v>
      </c>
      <c r="P37" s="108">
        <f>0</f>
        <v>0</v>
      </c>
      <c r="Q37" s="108">
        <f>0</f>
        <v>0</v>
      </c>
      <c r="R37" s="108">
        <f>0</f>
        <v>0</v>
      </c>
      <c r="S37" s="108">
        <f>0</f>
        <v>0</v>
      </c>
      <c r="T37" s="108">
        <f>0</f>
        <v>0</v>
      </c>
      <c r="U37" s="108">
        <f>0</f>
        <v>0</v>
      </c>
      <c r="V37" s="108">
        <f>0</f>
        <v>0</v>
      </c>
      <c r="W37" s="108">
        <f>0</f>
        <v>0</v>
      </c>
      <c r="X37" s="108">
        <f>0</f>
        <v>0</v>
      </c>
      <c r="Y37" s="108">
        <f>0</f>
        <v>0</v>
      </c>
      <c r="Z37" s="108">
        <f>0</f>
        <v>0</v>
      </c>
      <c r="AA37" s="108">
        <f>0</f>
        <v>0</v>
      </c>
      <c r="AB37" s="108">
        <f>0</f>
        <v>0</v>
      </c>
      <c r="AC37" s="108">
        <f>0</f>
        <v>0</v>
      </c>
      <c r="AD37" s="108">
        <f>0</f>
        <v>0</v>
      </c>
      <c r="AE37" s="108">
        <f>0</f>
        <v>0</v>
      </c>
      <c r="AF37" s="108">
        <f>0</f>
        <v>0</v>
      </c>
      <c r="AG37" s="108">
        <f>0</f>
        <v>0</v>
      </c>
      <c r="AH37" s="108">
        <f>0</f>
        <v>0</v>
      </c>
      <c r="AI37" s="108">
        <f>0</f>
        <v>0</v>
      </c>
      <c r="AJ37" s="108">
        <f>0</f>
        <v>0</v>
      </c>
      <c r="AK37" s="108">
        <f>0</f>
        <v>0</v>
      </c>
      <c r="AL37" s="108">
        <f>0</f>
        <v>0</v>
      </c>
      <c r="AM37" s="108">
        <f>0</f>
        <v>0</v>
      </c>
      <c r="AN37" s="108">
        <f>0</f>
        <v>0</v>
      </c>
      <c r="AO37" s="108">
        <f>0</f>
        <v>0</v>
      </c>
    </row>
    <row r="38" spans="1:41" s="34" customFormat="1">
      <c r="A38" s="73">
        <v>12</v>
      </c>
      <c r="B38" s="53" t="s">
        <v>136</v>
      </c>
      <c r="C38" s="76">
        <f>0</f>
        <v>0</v>
      </c>
      <c r="D38" s="76">
        <f>0</f>
        <v>0</v>
      </c>
      <c r="E38" s="38">
        <f>0</f>
        <v>0</v>
      </c>
      <c r="F38" s="38">
        <f>0</f>
        <v>0</v>
      </c>
      <c r="G38" s="38">
        <f>0</f>
        <v>0</v>
      </c>
      <c r="H38" s="38">
        <f>0</f>
        <v>0</v>
      </c>
      <c r="I38" s="38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  <c r="S38" s="38">
        <f>0</f>
        <v>0</v>
      </c>
      <c r="T38" s="38">
        <f>0</f>
        <v>0</v>
      </c>
      <c r="U38" s="38">
        <f>0</f>
        <v>0</v>
      </c>
      <c r="V38" s="38">
        <f>0</f>
        <v>0</v>
      </c>
      <c r="W38" s="38">
        <f>0</f>
        <v>0</v>
      </c>
      <c r="X38" s="38">
        <f>0</f>
        <v>0</v>
      </c>
      <c r="Y38" s="38">
        <f>0</f>
        <v>0</v>
      </c>
      <c r="Z38" s="38">
        <f>0</f>
        <v>0</v>
      </c>
      <c r="AA38" s="38">
        <f>0</f>
        <v>0</v>
      </c>
      <c r="AB38" s="38">
        <f>0</f>
        <v>0</v>
      </c>
      <c r="AC38" s="38">
        <f>0</f>
        <v>0</v>
      </c>
      <c r="AD38" s="38">
        <f>0</f>
        <v>0</v>
      </c>
      <c r="AE38" s="38">
        <f>0</f>
        <v>0</v>
      </c>
      <c r="AF38" s="38">
        <f>0</f>
        <v>0</v>
      </c>
      <c r="AG38" s="38">
        <f>0</f>
        <v>0</v>
      </c>
      <c r="AH38" s="38">
        <f>0</f>
        <v>0</v>
      </c>
      <c r="AI38" s="38">
        <f>0</f>
        <v>0</v>
      </c>
      <c r="AJ38" s="38">
        <f>0</f>
        <v>0</v>
      </c>
      <c r="AK38" s="38">
        <f>0</f>
        <v>0</v>
      </c>
      <c r="AL38" s="38">
        <f>0</f>
        <v>0</v>
      </c>
      <c r="AM38" s="38">
        <f>0</f>
        <v>0</v>
      </c>
      <c r="AN38" s="38">
        <f>0</f>
        <v>0</v>
      </c>
      <c r="AO38" s="38">
        <f>0</f>
        <v>0</v>
      </c>
    </row>
    <row r="39" spans="1:41" s="34" customFormat="1">
      <c r="A39" s="99">
        <v>13</v>
      </c>
      <c r="B39" s="100" t="s">
        <v>66</v>
      </c>
      <c r="C39" s="109">
        <f>1713572.36</f>
        <v>1713572.36</v>
      </c>
      <c r="D39" s="109">
        <f>1794885</f>
        <v>1794885</v>
      </c>
      <c r="E39" s="109">
        <f>1321998</f>
        <v>1321998</v>
      </c>
      <c r="F39" s="109">
        <f>925247</f>
        <v>925247</v>
      </c>
      <c r="G39" s="109">
        <f>528496</f>
        <v>528496</v>
      </c>
      <c r="H39" s="109">
        <f>148818</f>
        <v>148818</v>
      </c>
      <c r="I39" s="109">
        <f>0</f>
        <v>0</v>
      </c>
      <c r="J39" s="109">
        <f>0</f>
        <v>0</v>
      </c>
      <c r="K39" s="109">
        <f>0</f>
        <v>0</v>
      </c>
      <c r="L39" s="109">
        <f>0</f>
        <v>0</v>
      </c>
      <c r="M39" s="109">
        <f>0</f>
        <v>0</v>
      </c>
      <c r="N39" s="109">
        <f>0</f>
        <v>0</v>
      </c>
      <c r="O39" s="109">
        <f>0</f>
        <v>0</v>
      </c>
      <c r="P39" s="109">
        <f>0</f>
        <v>0</v>
      </c>
      <c r="Q39" s="109">
        <f>0</f>
        <v>0</v>
      </c>
      <c r="R39" s="109">
        <f>0</f>
        <v>0</v>
      </c>
      <c r="S39" s="109">
        <f>0</f>
        <v>0</v>
      </c>
      <c r="T39" s="109">
        <f>0</f>
        <v>0</v>
      </c>
      <c r="U39" s="109">
        <f>0</f>
        <v>0</v>
      </c>
      <c r="V39" s="109">
        <f>0</f>
        <v>0</v>
      </c>
      <c r="W39" s="109">
        <f>0</f>
        <v>0</v>
      </c>
      <c r="X39" s="109">
        <f>0</f>
        <v>0</v>
      </c>
      <c r="Y39" s="109">
        <f>0</f>
        <v>0</v>
      </c>
      <c r="Z39" s="109">
        <f>0</f>
        <v>0</v>
      </c>
      <c r="AA39" s="109">
        <f>0</f>
        <v>0</v>
      </c>
      <c r="AB39" s="109">
        <f>0</f>
        <v>0</v>
      </c>
      <c r="AC39" s="109">
        <f>0</f>
        <v>0</v>
      </c>
      <c r="AD39" s="109">
        <f>0</f>
        <v>0</v>
      </c>
      <c r="AE39" s="109">
        <f>0</f>
        <v>0</v>
      </c>
      <c r="AF39" s="109">
        <f>0</f>
        <v>0</v>
      </c>
      <c r="AG39" s="109">
        <f>0</f>
        <v>0</v>
      </c>
      <c r="AH39" s="109">
        <f>0</f>
        <v>0</v>
      </c>
      <c r="AI39" s="109">
        <f>0</f>
        <v>0</v>
      </c>
      <c r="AJ39" s="109">
        <f>0</f>
        <v>0</v>
      </c>
      <c r="AK39" s="109">
        <f>0</f>
        <v>0</v>
      </c>
      <c r="AL39" s="109">
        <f>0</f>
        <v>0</v>
      </c>
      <c r="AM39" s="109">
        <f>0</f>
        <v>0</v>
      </c>
      <c r="AN39" s="109">
        <f>0</f>
        <v>0</v>
      </c>
      <c r="AO39" s="109">
        <f>0</f>
        <v>0</v>
      </c>
    </row>
    <row r="40" spans="1:41" s="34" customFormat="1" ht="24">
      <c r="A40" s="102" t="s">
        <v>137</v>
      </c>
      <c r="B40" s="105" t="s">
        <v>67</v>
      </c>
      <c r="C40" s="108">
        <f>0</f>
        <v>0</v>
      </c>
      <c r="D40" s="108">
        <f>0</f>
        <v>0</v>
      </c>
      <c r="E40" s="108">
        <f>0</f>
        <v>0</v>
      </c>
      <c r="F40" s="108">
        <f>0</f>
        <v>0</v>
      </c>
      <c r="G40" s="108">
        <f>0</f>
        <v>0</v>
      </c>
      <c r="H40" s="108">
        <f>0</f>
        <v>0</v>
      </c>
      <c r="I40" s="108">
        <f>0</f>
        <v>0</v>
      </c>
      <c r="J40" s="108">
        <f>0</f>
        <v>0</v>
      </c>
      <c r="K40" s="108">
        <f>0</f>
        <v>0</v>
      </c>
      <c r="L40" s="108">
        <f>0</f>
        <v>0</v>
      </c>
      <c r="M40" s="108">
        <f>0</f>
        <v>0</v>
      </c>
      <c r="N40" s="108">
        <f>0</f>
        <v>0</v>
      </c>
      <c r="O40" s="108">
        <f>0</f>
        <v>0</v>
      </c>
      <c r="P40" s="108">
        <f>0</f>
        <v>0</v>
      </c>
      <c r="Q40" s="108">
        <f>0</f>
        <v>0</v>
      </c>
      <c r="R40" s="108">
        <f>0</f>
        <v>0</v>
      </c>
      <c r="S40" s="108">
        <f>0</f>
        <v>0</v>
      </c>
      <c r="T40" s="108">
        <f>0</f>
        <v>0</v>
      </c>
      <c r="U40" s="108">
        <f>0</f>
        <v>0</v>
      </c>
      <c r="V40" s="108">
        <f>0</f>
        <v>0</v>
      </c>
      <c r="W40" s="108">
        <f>0</f>
        <v>0</v>
      </c>
      <c r="X40" s="108">
        <f>0</f>
        <v>0</v>
      </c>
      <c r="Y40" s="108">
        <f>0</f>
        <v>0</v>
      </c>
      <c r="Z40" s="108">
        <f>0</f>
        <v>0</v>
      </c>
      <c r="AA40" s="108">
        <f>0</f>
        <v>0</v>
      </c>
      <c r="AB40" s="108">
        <f>0</f>
        <v>0</v>
      </c>
      <c r="AC40" s="108">
        <f>0</f>
        <v>0</v>
      </c>
      <c r="AD40" s="108">
        <f>0</f>
        <v>0</v>
      </c>
      <c r="AE40" s="108">
        <f>0</f>
        <v>0</v>
      </c>
      <c r="AF40" s="108">
        <f>0</f>
        <v>0</v>
      </c>
      <c r="AG40" s="108">
        <f>0</f>
        <v>0</v>
      </c>
      <c r="AH40" s="108">
        <f>0</f>
        <v>0</v>
      </c>
      <c r="AI40" s="108">
        <f>0</f>
        <v>0</v>
      </c>
      <c r="AJ40" s="108">
        <f>0</f>
        <v>0</v>
      </c>
      <c r="AK40" s="108">
        <f>0</f>
        <v>0</v>
      </c>
      <c r="AL40" s="108">
        <f>0</f>
        <v>0</v>
      </c>
      <c r="AM40" s="108">
        <f>0</f>
        <v>0</v>
      </c>
      <c r="AN40" s="108">
        <f>0</f>
        <v>0</v>
      </c>
      <c r="AO40" s="108">
        <f>0</f>
        <v>0</v>
      </c>
    </row>
    <row r="41" spans="1:41" s="34" customFormat="1">
      <c r="A41" s="73">
        <v>14</v>
      </c>
      <c r="B41" s="53" t="s">
        <v>68</v>
      </c>
      <c r="C41" s="38">
        <f>0</f>
        <v>0</v>
      </c>
      <c r="D41" s="38">
        <f>0</f>
        <v>0</v>
      </c>
      <c r="E41" s="38">
        <f>0</f>
        <v>0</v>
      </c>
      <c r="F41" s="38">
        <f>0</f>
        <v>0</v>
      </c>
      <c r="G41" s="38">
        <f>0</f>
        <v>0</v>
      </c>
      <c r="H41" s="38">
        <f>0</f>
        <v>0</v>
      </c>
      <c r="I41" s="38">
        <f>0</f>
        <v>0</v>
      </c>
      <c r="J41" s="38">
        <f>0</f>
        <v>0</v>
      </c>
      <c r="K41" s="38">
        <f>0</f>
        <v>0</v>
      </c>
      <c r="L41" s="38">
        <f>0</f>
        <v>0</v>
      </c>
      <c r="M41" s="38">
        <f>0</f>
        <v>0</v>
      </c>
      <c r="N41" s="38">
        <f>0</f>
        <v>0</v>
      </c>
      <c r="O41" s="38">
        <f>0</f>
        <v>0</v>
      </c>
      <c r="P41" s="38">
        <f>0</f>
        <v>0</v>
      </c>
      <c r="Q41" s="38">
        <f>0</f>
        <v>0</v>
      </c>
      <c r="R41" s="38">
        <f>0</f>
        <v>0</v>
      </c>
      <c r="S41" s="38">
        <f>0</f>
        <v>0</v>
      </c>
      <c r="T41" s="38">
        <f>0</f>
        <v>0</v>
      </c>
      <c r="U41" s="38">
        <f>0</f>
        <v>0</v>
      </c>
      <c r="V41" s="38">
        <f>0</f>
        <v>0</v>
      </c>
      <c r="W41" s="38">
        <f>0</f>
        <v>0</v>
      </c>
      <c r="X41" s="38">
        <f>0</f>
        <v>0</v>
      </c>
      <c r="Y41" s="38">
        <f>0</f>
        <v>0</v>
      </c>
      <c r="Z41" s="38">
        <f>0</f>
        <v>0</v>
      </c>
      <c r="AA41" s="38">
        <f>0</f>
        <v>0</v>
      </c>
      <c r="AB41" s="38">
        <f>0</f>
        <v>0</v>
      </c>
      <c r="AC41" s="38">
        <f>0</f>
        <v>0</v>
      </c>
      <c r="AD41" s="38">
        <f>0</f>
        <v>0</v>
      </c>
      <c r="AE41" s="38">
        <f>0</f>
        <v>0</v>
      </c>
      <c r="AF41" s="38">
        <f>0</f>
        <v>0</v>
      </c>
      <c r="AG41" s="38">
        <f>0</f>
        <v>0</v>
      </c>
      <c r="AH41" s="38">
        <f>0</f>
        <v>0</v>
      </c>
      <c r="AI41" s="38">
        <f>0</f>
        <v>0</v>
      </c>
      <c r="AJ41" s="38">
        <f>0</f>
        <v>0</v>
      </c>
      <c r="AK41" s="38">
        <f>0</f>
        <v>0</v>
      </c>
      <c r="AL41" s="38">
        <f>0</f>
        <v>0</v>
      </c>
      <c r="AM41" s="38">
        <f>0</f>
        <v>0</v>
      </c>
      <c r="AN41" s="38">
        <f>0</f>
        <v>0</v>
      </c>
      <c r="AO41" s="38">
        <f>0</f>
        <v>0</v>
      </c>
    </row>
    <row r="42" spans="1:41" s="34" customFormat="1" ht="36">
      <c r="A42" s="77">
        <v>15</v>
      </c>
      <c r="B42" s="53" t="s">
        <v>139</v>
      </c>
      <c r="C42" s="38">
        <f>0</f>
        <v>0</v>
      </c>
      <c r="D42" s="38">
        <f>0</f>
        <v>0</v>
      </c>
      <c r="E42" s="38">
        <f>0</f>
        <v>0</v>
      </c>
      <c r="F42" s="38">
        <f>0</f>
        <v>0</v>
      </c>
      <c r="G42" s="38">
        <f>0</f>
        <v>0</v>
      </c>
      <c r="H42" s="38">
        <f>0</f>
        <v>0</v>
      </c>
      <c r="I42" s="38">
        <f>0</f>
        <v>0</v>
      </c>
      <c r="J42" s="38">
        <f>0</f>
        <v>0</v>
      </c>
      <c r="K42" s="38">
        <f>0</f>
        <v>0</v>
      </c>
      <c r="L42" s="38">
        <f>0</f>
        <v>0</v>
      </c>
      <c r="M42" s="38">
        <f>0</f>
        <v>0</v>
      </c>
      <c r="N42" s="38">
        <f>0</f>
        <v>0</v>
      </c>
      <c r="O42" s="38">
        <f>0</f>
        <v>0</v>
      </c>
      <c r="P42" s="38">
        <f>0</f>
        <v>0</v>
      </c>
      <c r="Q42" s="38">
        <f>0</f>
        <v>0</v>
      </c>
      <c r="R42" s="38">
        <f>0</f>
        <v>0</v>
      </c>
      <c r="S42" s="38">
        <f>0</f>
        <v>0</v>
      </c>
      <c r="T42" s="38">
        <f>0</f>
        <v>0</v>
      </c>
      <c r="U42" s="38">
        <f>0</f>
        <v>0</v>
      </c>
      <c r="V42" s="38">
        <f>0</f>
        <v>0</v>
      </c>
      <c r="W42" s="38">
        <f>0</f>
        <v>0</v>
      </c>
      <c r="X42" s="38">
        <f>0</f>
        <v>0</v>
      </c>
      <c r="Y42" s="38">
        <f>0</f>
        <v>0</v>
      </c>
      <c r="Z42" s="38">
        <f>0</f>
        <v>0</v>
      </c>
      <c r="AA42" s="38">
        <f>0</f>
        <v>0</v>
      </c>
      <c r="AB42" s="38">
        <f>0</f>
        <v>0</v>
      </c>
      <c r="AC42" s="38">
        <f>0</f>
        <v>0</v>
      </c>
      <c r="AD42" s="38">
        <f>0</f>
        <v>0</v>
      </c>
      <c r="AE42" s="38">
        <f>0</f>
        <v>0</v>
      </c>
      <c r="AF42" s="38">
        <f>0</f>
        <v>0</v>
      </c>
      <c r="AG42" s="38">
        <f>0</f>
        <v>0</v>
      </c>
      <c r="AH42" s="38">
        <f>0</f>
        <v>0</v>
      </c>
      <c r="AI42" s="38">
        <f>0</f>
        <v>0</v>
      </c>
      <c r="AJ42" s="38">
        <f>0</f>
        <v>0</v>
      </c>
      <c r="AK42" s="38">
        <f>0</f>
        <v>0</v>
      </c>
      <c r="AL42" s="38">
        <f>0</f>
        <v>0</v>
      </c>
      <c r="AM42" s="38">
        <f>0</f>
        <v>0</v>
      </c>
      <c r="AN42" s="38">
        <f>0</f>
        <v>0</v>
      </c>
      <c r="AO42" s="38">
        <f>0</f>
        <v>0</v>
      </c>
    </row>
    <row r="43" spans="1:41" s="34" customFormat="1" ht="24">
      <c r="A43" s="77">
        <v>16</v>
      </c>
      <c r="B43" s="53" t="s">
        <v>140</v>
      </c>
      <c r="C43" s="38">
        <f>345594</f>
        <v>345594</v>
      </c>
      <c r="D43" s="38">
        <f>0</f>
        <v>0</v>
      </c>
      <c r="E43" s="38">
        <f>472887</f>
        <v>472887</v>
      </c>
      <c r="F43" s="38">
        <f>396751</f>
        <v>396751</v>
      </c>
      <c r="G43" s="38">
        <f>396751</f>
        <v>396751</v>
      </c>
      <c r="H43" s="38">
        <f>379678</f>
        <v>379678</v>
      </c>
      <c r="I43" s="38">
        <f>148818</f>
        <v>148818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  <c r="S43" s="38">
        <f>0</f>
        <v>0</v>
      </c>
      <c r="T43" s="38">
        <f>0</f>
        <v>0</v>
      </c>
      <c r="U43" s="38">
        <f>0</f>
        <v>0</v>
      </c>
      <c r="V43" s="38">
        <f>0</f>
        <v>0</v>
      </c>
      <c r="W43" s="38">
        <f>0</f>
        <v>0</v>
      </c>
      <c r="X43" s="38">
        <f>0</f>
        <v>0</v>
      </c>
      <c r="Y43" s="38">
        <f>0</f>
        <v>0</v>
      </c>
      <c r="Z43" s="38">
        <f>0</f>
        <v>0</v>
      </c>
      <c r="AA43" s="38">
        <f>0</f>
        <v>0</v>
      </c>
      <c r="AB43" s="38">
        <f>0</f>
        <v>0</v>
      </c>
      <c r="AC43" s="38">
        <f>0</f>
        <v>0</v>
      </c>
      <c r="AD43" s="38">
        <f>0</f>
        <v>0</v>
      </c>
      <c r="AE43" s="38">
        <f>0</f>
        <v>0</v>
      </c>
      <c r="AF43" s="38">
        <f>0</f>
        <v>0</v>
      </c>
      <c r="AG43" s="38">
        <f>0</f>
        <v>0</v>
      </c>
      <c r="AH43" s="38">
        <f>0</f>
        <v>0</v>
      </c>
      <c r="AI43" s="38">
        <f>0</f>
        <v>0</v>
      </c>
      <c r="AJ43" s="38">
        <f>0</f>
        <v>0</v>
      </c>
      <c r="AK43" s="38">
        <f>0</f>
        <v>0</v>
      </c>
      <c r="AL43" s="38">
        <f>0</f>
        <v>0</v>
      </c>
      <c r="AM43" s="38">
        <f>0</f>
        <v>0</v>
      </c>
      <c r="AN43" s="38">
        <f>0</f>
        <v>0</v>
      </c>
      <c r="AO43" s="38">
        <f>0</f>
        <v>0</v>
      </c>
    </row>
    <row r="44" spans="1:41" s="34" customFormat="1">
      <c r="A44" s="110">
        <v>17</v>
      </c>
      <c r="B44" s="111" t="s">
        <v>91</v>
      </c>
      <c r="C44" s="107">
        <f>0</f>
        <v>0</v>
      </c>
      <c r="D44" s="107">
        <f>0</f>
        <v>0</v>
      </c>
      <c r="E44" s="107">
        <f>0</f>
        <v>0</v>
      </c>
      <c r="F44" s="107">
        <f>0</f>
        <v>0</v>
      </c>
      <c r="G44" s="107">
        <f>0</f>
        <v>0</v>
      </c>
      <c r="H44" s="107">
        <f>0</f>
        <v>0</v>
      </c>
      <c r="I44" s="107">
        <f>0</f>
        <v>0</v>
      </c>
      <c r="J44" s="107">
        <f>0</f>
        <v>0</v>
      </c>
      <c r="K44" s="107">
        <f>0</f>
        <v>0</v>
      </c>
      <c r="L44" s="107">
        <f>0</f>
        <v>0</v>
      </c>
      <c r="M44" s="107">
        <f>0</f>
        <v>0</v>
      </c>
      <c r="N44" s="107">
        <f>0</f>
        <v>0</v>
      </c>
      <c r="O44" s="107">
        <f>0</f>
        <v>0</v>
      </c>
      <c r="P44" s="107">
        <f>0</f>
        <v>0</v>
      </c>
      <c r="Q44" s="107">
        <f>0</f>
        <v>0</v>
      </c>
      <c r="R44" s="107">
        <f>0</f>
        <v>0</v>
      </c>
      <c r="S44" s="107">
        <f>0</f>
        <v>0</v>
      </c>
      <c r="T44" s="107">
        <f>0</f>
        <v>0</v>
      </c>
      <c r="U44" s="107">
        <f>0</f>
        <v>0</v>
      </c>
      <c r="V44" s="107">
        <f>0</f>
        <v>0</v>
      </c>
      <c r="W44" s="107">
        <f>0</f>
        <v>0</v>
      </c>
      <c r="X44" s="107">
        <f>0</f>
        <v>0</v>
      </c>
      <c r="Y44" s="107">
        <f>0</f>
        <v>0</v>
      </c>
      <c r="Z44" s="107">
        <f>0</f>
        <v>0</v>
      </c>
      <c r="AA44" s="107">
        <f>0</f>
        <v>0</v>
      </c>
      <c r="AB44" s="107">
        <f>0</f>
        <v>0</v>
      </c>
      <c r="AC44" s="107">
        <f>0</f>
        <v>0</v>
      </c>
      <c r="AD44" s="107">
        <f>0</f>
        <v>0</v>
      </c>
      <c r="AE44" s="107">
        <f>0</f>
        <v>0</v>
      </c>
      <c r="AF44" s="107">
        <f>0</f>
        <v>0</v>
      </c>
      <c r="AG44" s="107">
        <f>0</f>
        <v>0</v>
      </c>
      <c r="AH44" s="107">
        <f>0</f>
        <v>0</v>
      </c>
      <c r="AI44" s="107">
        <f>0</f>
        <v>0</v>
      </c>
      <c r="AJ44" s="107">
        <f>0</f>
        <v>0</v>
      </c>
      <c r="AK44" s="107">
        <f>0</f>
        <v>0</v>
      </c>
      <c r="AL44" s="107">
        <f>0</f>
        <v>0</v>
      </c>
      <c r="AM44" s="107">
        <f>0</f>
        <v>0</v>
      </c>
      <c r="AN44" s="107">
        <f>0</f>
        <v>0</v>
      </c>
      <c r="AO44" s="107">
        <f>0</f>
        <v>0</v>
      </c>
    </row>
    <row r="45" spans="1:41" s="34" customFormat="1" ht="24">
      <c r="A45" s="112" t="s">
        <v>141</v>
      </c>
      <c r="B45" s="113" t="s">
        <v>92</v>
      </c>
      <c r="C45" s="108">
        <f>0</f>
        <v>0</v>
      </c>
      <c r="D45" s="108">
        <f>0</f>
        <v>0</v>
      </c>
      <c r="E45" s="108">
        <f>0</f>
        <v>0</v>
      </c>
      <c r="F45" s="108">
        <f>0</f>
        <v>0</v>
      </c>
      <c r="G45" s="108">
        <f>0</f>
        <v>0</v>
      </c>
      <c r="H45" s="108">
        <f>0</f>
        <v>0</v>
      </c>
      <c r="I45" s="108">
        <f>0</f>
        <v>0</v>
      </c>
      <c r="J45" s="108">
        <f>0</f>
        <v>0</v>
      </c>
      <c r="K45" s="108">
        <f>0</f>
        <v>0</v>
      </c>
      <c r="L45" s="108">
        <f>0</f>
        <v>0</v>
      </c>
      <c r="M45" s="108">
        <f>0</f>
        <v>0</v>
      </c>
      <c r="N45" s="108">
        <f>0</f>
        <v>0</v>
      </c>
      <c r="O45" s="108">
        <f>0</f>
        <v>0</v>
      </c>
      <c r="P45" s="108">
        <f>0</f>
        <v>0</v>
      </c>
      <c r="Q45" s="108">
        <f>0</f>
        <v>0</v>
      </c>
      <c r="R45" s="108">
        <f>0</f>
        <v>0</v>
      </c>
      <c r="S45" s="108">
        <f>0</f>
        <v>0</v>
      </c>
      <c r="T45" s="108">
        <f>0</f>
        <v>0</v>
      </c>
      <c r="U45" s="108">
        <f>0</f>
        <v>0</v>
      </c>
      <c r="V45" s="108">
        <f>0</f>
        <v>0</v>
      </c>
      <c r="W45" s="108">
        <f>0</f>
        <v>0</v>
      </c>
      <c r="X45" s="108">
        <f>0</f>
        <v>0</v>
      </c>
      <c r="Y45" s="108">
        <f>0</f>
        <v>0</v>
      </c>
      <c r="Z45" s="108">
        <f>0</f>
        <v>0</v>
      </c>
      <c r="AA45" s="108">
        <f>0</f>
        <v>0</v>
      </c>
      <c r="AB45" s="108">
        <f>0</f>
        <v>0</v>
      </c>
      <c r="AC45" s="108">
        <f>0</f>
        <v>0</v>
      </c>
      <c r="AD45" s="108">
        <f>0</f>
        <v>0</v>
      </c>
      <c r="AE45" s="108">
        <f>0</f>
        <v>0</v>
      </c>
      <c r="AF45" s="108">
        <f>0</f>
        <v>0</v>
      </c>
      <c r="AG45" s="108">
        <f>0</f>
        <v>0</v>
      </c>
      <c r="AH45" s="108">
        <f>0</f>
        <v>0</v>
      </c>
      <c r="AI45" s="108">
        <f>0</f>
        <v>0</v>
      </c>
      <c r="AJ45" s="108">
        <f>0</f>
        <v>0</v>
      </c>
      <c r="AK45" s="108">
        <f>0</f>
        <v>0</v>
      </c>
      <c r="AL45" s="108">
        <f>0</f>
        <v>0</v>
      </c>
      <c r="AM45" s="108">
        <f>0</f>
        <v>0</v>
      </c>
      <c r="AN45" s="108">
        <f>0</f>
        <v>0</v>
      </c>
      <c r="AO45" s="108">
        <f>0</f>
        <v>0</v>
      </c>
    </row>
    <row r="46" spans="1:41" s="34" customFormat="1">
      <c r="A46" s="114">
        <v>18</v>
      </c>
      <c r="B46" s="115" t="s">
        <v>69</v>
      </c>
      <c r="C46" s="116">
        <f>0.1754</f>
        <v>0.1754</v>
      </c>
      <c r="D46" s="116">
        <f>0.2013</f>
        <v>0.20130000000000001</v>
      </c>
      <c r="E46" s="116">
        <f>0.1602</f>
        <v>0.16020000000000001</v>
      </c>
      <c r="F46" s="116">
        <f>0.1101</f>
        <v>0.1101</v>
      </c>
      <c r="G46" s="116">
        <f>0.0614</f>
        <v>6.1400000000000003E-2</v>
      </c>
      <c r="H46" s="116">
        <f>0.0169</f>
        <v>1.6899999999999998E-2</v>
      </c>
      <c r="I46" s="116">
        <f>0</f>
        <v>0</v>
      </c>
      <c r="J46" s="116">
        <f>0</f>
        <v>0</v>
      </c>
      <c r="K46" s="116">
        <f>0</f>
        <v>0</v>
      </c>
      <c r="L46" s="116">
        <f>0</f>
        <v>0</v>
      </c>
      <c r="M46" s="116">
        <f>0</f>
        <v>0</v>
      </c>
      <c r="N46" s="116">
        <f>0</f>
        <v>0</v>
      </c>
      <c r="O46" s="116">
        <f>0</f>
        <v>0</v>
      </c>
      <c r="P46" s="116">
        <f>0</f>
        <v>0</v>
      </c>
      <c r="Q46" s="116">
        <f>0</f>
        <v>0</v>
      </c>
      <c r="R46" s="116">
        <f>0</f>
        <v>0</v>
      </c>
      <c r="S46" s="116">
        <f>0</f>
        <v>0</v>
      </c>
      <c r="T46" s="116">
        <f>0</f>
        <v>0</v>
      </c>
      <c r="U46" s="116">
        <f>0</f>
        <v>0</v>
      </c>
      <c r="V46" s="116">
        <f>0</f>
        <v>0</v>
      </c>
      <c r="W46" s="116">
        <f>0</f>
        <v>0</v>
      </c>
      <c r="X46" s="116">
        <f>0</f>
        <v>0</v>
      </c>
      <c r="Y46" s="116">
        <f>0</f>
        <v>0</v>
      </c>
      <c r="Z46" s="116">
        <f>0</f>
        <v>0</v>
      </c>
      <c r="AA46" s="116">
        <f>0</f>
        <v>0</v>
      </c>
      <c r="AB46" s="116">
        <f>0</f>
        <v>0</v>
      </c>
      <c r="AC46" s="116">
        <f>0</f>
        <v>0</v>
      </c>
      <c r="AD46" s="116">
        <f>0</f>
        <v>0</v>
      </c>
      <c r="AE46" s="116">
        <f>0</f>
        <v>0</v>
      </c>
      <c r="AF46" s="116">
        <f>0</f>
        <v>0</v>
      </c>
      <c r="AG46" s="116">
        <f>0</f>
        <v>0</v>
      </c>
      <c r="AH46" s="116">
        <f>0</f>
        <v>0</v>
      </c>
      <c r="AI46" s="116">
        <f>0</f>
        <v>0</v>
      </c>
      <c r="AJ46" s="116">
        <f>0</f>
        <v>0</v>
      </c>
      <c r="AK46" s="116">
        <f>0</f>
        <v>0</v>
      </c>
      <c r="AL46" s="116">
        <f>0</f>
        <v>0</v>
      </c>
      <c r="AM46" s="116">
        <f>0</f>
        <v>0</v>
      </c>
      <c r="AN46" s="116">
        <f>0</f>
        <v>0</v>
      </c>
      <c r="AO46" s="116">
        <f>0</f>
        <v>0</v>
      </c>
    </row>
    <row r="47" spans="1:41" s="34" customFormat="1" ht="24">
      <c r="A47" s="87" t="s">
        <v>143</v>
      </c>
      <c r="B47" s="88" t="s">
        <v>71</v>
      </c>
      <c r="C47" s="89">
        <f>0.1754</f>
        <v>0.1754</v>
      </c>
      <c r="D47" s="89">
        <f>0.2013</f>
        <v>0.20130000000000001</v>
      </c>
      <c r="E47" s="89">
        <f>0.1602</f>
        <v>0.16020000000000001</v>
      </c>
      <c r="F47" s="89">
        <f>0.1101</f>
        <v>0.1101</v>
      </c>
      <c r="G47" s="89">
        <f>0.0614</f>
        <v>6.1400000000000003E-2</v>
      </c>
      <c r="H47" s="89">
        <f>0.0169</f>
        <v>1.6899999999999998E-2</v>
      </c>
      <c r="I47" s="89">
        <f>0</f>
        <v>0</v>
      </c>
      <c r="J47" s="89">
        <f>0</f>
        <v>0</v>
      </c>
      <c r="K47" s="89">
        <f>0</f>
        <v>0</v>
      </c>
      <c r="L47" s="89">
        <f>0</f>
        <v>0</v>
      </c>
      <c r="M47" s="89">
        <f>0</f>
        <v>0</v>
      </c>
      <c r="N47" s="89">
        <f>0</f>
        <v>0</v>
      </c>
      <c r="O47" s="89">
        <f>0</f>
        <v>0</v>
      </c>
      <c r="P47" s="89">
        <f>0</f>
        <v>0</v>
      </c>
      <c r="Q47" s="89">
        <f>0</f>
        <v>0</v>
      </c>
      <c r="R47" s="89">
        <f>0</f>
        <v>0</v>
      </c>
      <c r="S47" s="89">
        <f>0</f>
        <v>0</v>
      </c>
      <c r="T47" s="89">
        <f>0</f>
        <v>0</v>
      </c>
      <c r="U47" s="89">
        <f>0</f>
        <v>0</v>
      </c>
      <c r="V47" s="89">
        <f>0</f>
        <v>0</v>
      </c>
      <c r="W47" s="89">
        <f>0</f>
        <v>0</v>
      </c>
      <c r="X47" s="89">
        <f>0</f>
        <v>0</v>
      </c>
      <c r="Y47" s="89">
        <f>0</f>
        <v>0</v>
      </c>
      <c r="Z47" s="89">
        <f>0</f>
        <v>0</v>
      </c>
      <c r="AA47" s="89">
        <f>0</f>
        <v>0</v>
      </c>
      <c r="AB47" s="89">
        <f>0</f>
        <v>0</v>
      </c>
      <c r="AC47" s="89">
        <f>0</f>
        <v>0</v>
      </c>
      <c r="AD47" s="89">
        <f>0</f>
        <v>0</v>
      </c>
      <c r="AE47" s="89">
        <f>0</f>
        <v>0</v>
      </c>
      <c r="AF47" s="89">
        <f>0</f>
        <v>0</v>
      </c>
      <c r="AG47" s="89">
        <f>0</f>
        <v>0</v>
      </c>
      <c r="AH47" s="89">
        <f>0</f>
        <v>0</v>
      </c>
      <c r="AI47" s="89">
        <f>0</f>
        <v>0</v>
      </c>
      <c r="AJ47" s="89">
        <f>0</f>
        <v>0</v>
      </c>
      <c r="AK47" s="89">
        <f>0</f>
        <v>0</v>
      </c>
      <c r="AL47" s="89">
        <f>0</f>
        <v>0</v>
      </c>
      <c r="AM47" s="89">
        <f>0</f>
        <v>0</v>
      </c>
      <c r="AN47" s="89">
        <f>0</f>
        <v>0</v>
      </c>
      <c r="AO47" s="89">
        <f>0</f>
        <v>0</v>
      </c>
    </row>
    <row r="48" spans="1:41" s="34" customFormat="1" ht="24">
      <c r="A48" s="87">
        <v>19</v>
      </c>
      <c r="B48" s="90" t="s">
        <v>72</v>
      </c>
      <c r="C48" s="89">
        <f>0.079</f>
        <v>7.9000000000000001E-2</v>
      </c>
      <c r="D48" s="89">
        <f>0.053</f>
        <v>5.2999999999999999E-2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</row>
    <row r="49" spans="1:41" s="34" customFormat="1" ht="24">
      <c r="A49" s="112" t="s">
        <v>144</v>
      </c>
      <c r="B49" s="117" t="s">
        <v>74</v>
      </c>
      <c r="C49" s="118">
        <f>0.0479</f>
        <v>4.7899999999999998E-2</v>
      </c>
      <c r="D49" s="118">
        <f>0.053</f>
        <v>5.2999999999999999E-2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  <row r="50" spans="1:41" s="34" customFormat="1">
      <c r="A50" s="114">
        <v>20</v>
      </c>
      <c r="B50" s="115" t="s">
        <v>145</v>
      </c>
      <c r="C50" s="116">
        <f>0.0946</f>
        <v>9.4600000000000004E-2</v>
      </c>
      <c r="D50" s="116">
        <f>0.1351</f>
        <v>0.1351</v>
      </c>
      <c r="E50" s="116">
        <f>0.1454</f>
        <v>0.1454</v>
      </c>
      <c r="F50" s="116">
        <f>0.1333</f>
        <v>0.1333</v>
      </c>
      <c r="G50" s="116">
        <f>0.1319</f>
        <v>0.13189999999999999</v>
      </c>
      <c r="H50" s="116">
        <f>0.1305</f>
        <v>0.1305</v>
      </c>
      <c r="I50" s="116">
        <f>0.1293</f>
        <v>0.1293</v>
      </c>
      <c r="J50" s="116">
        <f>0</f>
        <v>0</v>
      </c>
      <c r="K50" s="116">
        <f>0</f>
        <v>0</v>
      </c>
      <c r="L50" s="116">
        <f>0</f>
        <v>0</v>
      </c>
      <c r="M50" s="116">
        <f>0</f>
        <v>0</v>
      </c>
      <c r="N50" s="116">
        <f>0</f>
        <v>0</v>
      </c>
      <c r="O50" s="116">
        <f>0</f>
        <v>0</v>
      </c>
      <c r="P50" s="116">
        <f>0</f>
        <v>0</v>
      </c>
      <c r="Q50" s="116">
        <f>0</f>
        <v>0</v>
      </c>
      <c r="R50" s="116">
        <f>0</f>
        <v>0</v>
      </c>
      <c r="S50" s="116">
        <f>0</f>
        <v>0</v>
      </c>
      <c r="T50" s="116">
        <f>0</f>
        <v>0</v>
      </c>
      <c r="U50" s="116">
        <f>0</f>
        <v>0</v>
      </c>
      <c r="V50" s="116">
        <f>0</f>
        <v>0</v>
      </c>
      <c r="W50" s="116">
        <f>0</f>
        <v>0</v>
      </c>
      <c r="X50" s="116">
        <f>0</f>
        <v>0</v>
      </c>
      <c r="Y50" s="116">
        <f>0</f>
        <v>0</v>
      </c>
      <c r="Z50" s="116">
        <f>0</f>
        <v>0</v>
      </c>
      <c r="AA50" s="116">
        <f>0</f>
        <v>0</v>
      </c>
      <c r="AB50" s="116">
        <f>0</f>
        <v>0</v>
      </c>
      <c r="AC50" s="116">
        <f>0</f>
        <v>0</v>
      </c>
      <c r="AD50" s="116">
        <f>0</f>
        <v>0</v>
      </c>
      <c r="AE50" s="116">
        <f>0</f>
        <v>0</v>
      </c>
      <c r="AF50" s="116">
        <f>0</f>
        <v>0</v>
      </c>
      <c r="AG50" s="116">
        <f>0</f>
        <v>0</v>
      </c>
      <c r="AH50" s="116">
        <f>0</f>
        <v>0</v>
      </c>
      <c r="AI50" s="116">
        <f>0</f>
        <v>0</v>
      </c>
      <c r="AJ50" s="116">
        <f>0</f>
        <v>0</v>
      </c>
      <c r="AK50" s="116">
        <f>0</f>
        <v>0</v>
      </c>
      <c r="AL50" s="116">
        <f>0</f>
        <v>0</v>
      </c>
      <c r="AM50" s="116">
        <f>0</f>
        <v>0</v>
      </c>
      <c r="AN50" s="116">
        <f>0</f>
        <v>0</v>
      </c>
      <c r="AO50" s="116">
        <f>0</f>
        <v>0</v>
      </c>
    </row>
    <row r="51" spans="1:41" s="34" customFormat="1">
      <c r="A51" s="87" t="s">
        <v>146</v>
      </c>
      <c r="B51" s="88" t="s">
        <v>53</v>
      </c>
      <c r="C51" s="89">
        <f>0.1339</f>
        <v>0.13389999999999999</v>
      </c>
      <c r="D51" s="89">
        <f>0.0824</f>
        <v>8.2400000000000001E-2</v>
      </c>
      <c r="E51" s="89">
        <f>0.0872</f>
        <v>8.72E-2</v>
      </c>
      <c r="F51" s="89">
        <f>0.125</f>
        <v>0.125</v>
      </c>
      <c r="G51" s="89">
        <f>0.1379</f>
        <v>0.13789999999999999</v>
      </c>
      <c r="H51" s="89">
        <f>0.1369</f>
        <v>0.13689999999999999</v>
      </c>
      <c r="I51" s="89">
        <f>0.1319</f>
        <v>0.13189999999999999</v>
      </c>
      <c r="J51" s="89">
        <f>0</f>
        <v>0</v>
      </c>
      <c r="K51" s="89">
        <f>0</f>
        <v>0</v>
      </c>
      <c r="L51" s="89">
        <f>0</f>
        <v>0</v>
      </c>
      <c r="M51" s="89">
        <f>0</f>
        <v>0</v>
      </c>
      <c r="N51" s="89">
        <f>0</f>
        <v>0</v>
      </c>
      <c r="O51" s="89">
        <f>0</f>
        <v>0</v>
      </c>
      <c r="P51" s="89">
        <f>0</f>
        <v>0</v>
      </c>
      <c r="Q51" s="89">
        <f>0</f>
        <v>0</v>
      </c>
      <c r="R51" s="89">
        <f>0</f>
        <v>0</v>
      </c>
      <c r="S51" s="89">
        <f>0</f>
        <v>0</v>
      </c>
      <c r="T51" s="89">
        <f>0</f>
        <v>0</v>
      </c>
      <c r="U51" s="89">
        <f>0</f>
        <v>0</v>
      </c>
      <c r="V51" s="89">
        <f>0</f>
        <v>0</v>
      </c>
      <c r="W51" s="89">
        <f>0</f>
        <v>0</v>
      </c>
      <c r="X51" s="89">
        <f>0</f>
        <v>0</v>
      </c>
      <c r="Y51" s="89">
        <f>0</f>
        <v>0</v>
      </c>
      <c r="Z51" s="89">
        <f>0</f>
        <v>0</v>
      </c>
      <c r="AA51" s="89">
        <f>0</f>
        <v>0</v>
      </c>
      <c r="AB51" s="89">
        <f>0</f>
        <v>0</v>
      </c>
      <c r="AC51" s="89">
        <f>0</f>
        <v>0</v>
      </c>
      <c r="AD51" s="89">
        <f>0</f>
        <v>0</v>
      </c>
      <c r="AE51" s="89">
        <f>0</f>
        <v>0</v>
      </c>
      <c r="AF51" s="89">
        <f>0</f>
        <v>0</v>
      </c>
      <c r="AG51" s="89">
        <f>0</f>
        <v>0</v>
      </c>
      <c r="AH51" s="89">
        <f>0</f>
        <v>0</v>
      </c>
      <c r="AI51" s="89">
        <f>0</f>
        <v>0</v>
      </c>
      <c r="AJ51" s="89">
        <f>0</f>
        <v>0</v>
      </c>
      <c r="AK51" s="89">
        <f>0</f>
        <v>0</v>
      </c>
      <c r="AL51" s="89">
        <f>0</f>
        <v>0</v>
      </c>
      <c r="AM51" s="89">
        <f>0</f>
        <v>0</v>
      </c>
      <c r="AN51" s="89">
        <f>0</f>
        <v>0</v>
      </c>
      <c r="AO51" s="89">
        <f>0</f>
        <v>0</v>
      </c>
    </row>
    <row r="52" spans="1:41" s="34" customFormat="1" ht="24">
      <c r="A52" s="87">
        <v>21</v>
      </c>
      <c r="B52" s="88" t="s">
        <v>54</v>
      </c>
      <c r="C52" s="89">
        <f>0.079</f>
        <v>7.9000000000000001E-2</v>
      </c>
      <c r="D52" s="89">
        <f>0.053</f>
        <v>5.2999999999999999E-2</v>
      </c>
      <c r="E52" s="89">
        <f>0.0695</f>
        <v>6.9500000000000006E-2</v>
      </c>
      <c r="F52" s="89">
        <f>0.0562</f>
        <v>5.62E-2</v>
      </c>
      <c r="G52" s="89">
        <f>0.0523</f>
        <v>5.2299999999999999E-2</v>
      </c>
      <c r="H52" s="89">
        <f>0.0464</f>
        <v>4.6399999999999997E-2</v>
      </c>
      <c r="I52" s="89">
        <f>0.0169</f>
        <v>1.6899999999999998E-2</v>
      </c>
      <c r="J52" s="89">
        <f>0</f>
        <v>0</v>
      </c>
      <c r="K52" s="89">
        <f>0</f>
        <v>0</v>
      </c>
      <c r="L52" s="89">
        <f>0</f>
        <v>0</v>
      </c>
      <c r="M52" s="89">
        <f>0</f>
        <v>0</v>
      </c>
      <c r="N52" s="89">
        <f>0</f>
        <v>0</v>
      </c>
      <c r="O52" s="89">
        <f>0</f>
        <v>0</v>
      </c>
      <c r="P52" s="89">
        <f>0</f>
        <v>0</v>
      </c>
      <c r="Q52" s="89">
        <f>0</f>
        <v>0</v>
      </c>
      <c r="R52" s="89">
        <f>0</f>
        <v>0</v>
      </c>
      <c r="S52" s="89">
        <f>0</f>
        <v>0</v>
      </c>
      <c r="T52" s="89">
        <f>0</f>
        <v>0</v>
      </c>
      <c r="U52" s="89">
        <f>0</f>
        <v>0</v>
      </c>
      <c r="V52" s="89">
        <f>0</f>
        <v>0</v>
      </c>
      <c r="W52" s="89">
        <f>0</f>
        <v>0</v>
      </c>
      <c r="X52" s="89">
        <f>0</f>
        <v>0</v>
      </c>
      <c r="Y52" s="89">
        <f>0</f>
        <v>0</v>
      </c>
      <c r="Z52" s="89">
        <f>0</f>
        <v>0</v>
      </c>
      <c r="AA52" s="89">
        <f>0</f>
        <v>0</v>
      </c>
      <c r="AB52" s="89">
        <f>0</f>
        <v>0</v>
      </c>
      <c r="AC52" s="89">
        <f>0</f>
        <v>0</v>
      </c>
      <c r="AD52" s="89">
        <f>0</f>
        <v>0</v>
      </c>
      <c r="AE52" s="89">
        <f>0</f>
        <v>0</v>
      </c>
      <c r="AF52" s="89">
        <f>0</f>
        <v>0</v>
      </c>
      <c r="AG52" s="89">
        <f>0</f>
        <v>0</v>
      </c>
      <c r="AH52" s="89">
        <f>0</f>
        <v>0</v>
      </c>
      <c r="AI52" s="89">
        <f>0</f>
        <v>0</v>
      </c>
      <c r="AJ52" s="89">
        <f>0</f>
        <v>0</v>
      </c>
      <c r="AK52" s="89">
        <f>0</f>
        <v>0</v>
      </c>
      <c r="AL52" s="89">
        <f>0</f>
        <v>0</v>
      </c>
      <c r="AM52" s="89">
        <f>0</f>
        <v>0</v>
      </c>
      <c r="AN52" s="89">
        <f>0</f>
        <v>0</v>
      </c>
      <c r="AO52" s="89">
        <f>0</f>
        <v>0</v>
      </c>
    </row>
    <row r="53" spans="1:41" s="34" customFormat="1" ht="24">
      <c r="A53" s="86" t="s">
        <v>147</v>
      </c>
      <c r="B53" s="62" t="s">
        <v>76</v>
      </c>
      <c r="C53" s="91" t="str">
        <f>IF(C52&lt;=C$51,"Spełnia  art. 243","Nie spełnia art. 243")</f>
        <v>Spełnia  art. 243</v>
      </c>
      <c r="D53" s="91" t="str">
        <f t="shared" ref="D53:AD53" si="0">IF(D52&lt;=D$51,"Spełnia  art. 243","Nie spełnia art. 243")</f>
        <v>Spełnia  art. 243</v>
      </c>
      <c r="E53" s="91" t="str">
        <f t="shared" si="0"/>
        <v>Spełnia  art. 243</v>
      </c>
      <c r="F53" s="91" t="str">
        <f t="shared" si="0"/>
        <v>Spełnia  art. 243</v>
      </c>
      <c r="G53" s="91" t="str">
        <f t="shared" si="0"/>
        <v>Spełnia  art. 243</v>
      </c>
      <c r="H53" s="91" t="str">
        <f t="shared" si="0"/>
        <v>Spełnia  art. 243</v>
      </c>
      <c r="I53" s="91" t="str">
        <f t="shared" si="0"/>
        <v>Spełnia  art. 243</v>
      </c>
      <c r="J53" s="91" t="str">
        <f t="shared" si="0"/>
        <v>Spełnia  art. 243</v>
      </c>
      <c r="K53" s="91" t="str">
        <f t="shared" si="0"/>
        <v>Spełnia  art. 243</v>
      </c>
      <c r="L53" s="91" t="str">
        <f t="shared" si="0"/>
        <v>Spełnia  art. 243</v>
      </c>
      <c r="M53" s="91" t="str">
        <f t="shared" si="0"/>
        <v>Spełnia  art. 243</v>
      </c>
      <c r="N53" s="91" t="str">
        <f t="shared" si="0"/>
        <v>Spełnia  art. 243</v>
      </c>
      <c r="O53" s="91" t="str">
        <f t="shared" si="0"/>
        <v>Spełnia  art. 243</v>
      </c>
      <c r="P53" s="91" t="str">
        <f t="shared" si="0"/>
        <v>Spełnia  art. 243</v>
      </c>
      <c r="Q53" s="91" t="str">
        <f t="shared" si="0"/>
        <v>Spełnia  art. 243</v>
      </c>
      <c r="R53" s="91" t="str">
        <f t="shared" si="0"/>
        <v>Spełnia  art. 243</v>
      </c>
      <c r="S53" s="91" t="str">
        <f t="shared" si="0"/>
        <v>Spełnia  art. 243</v>
      </c>
      <c r="T53" s="91" t="str">
        <f t="shared" si="0"/>
        <v>Spełnia  art. 243</v>
      </c>
      <c r="U53" s="91" t="str">
        <f t="shared" si="0"/>
        <v>Spełnia  art. 243</v>
      </c>
      <c r="V53" s="91" t="str">
        <f t="shared" si="0"/>
        <v>Spełnia  art. 243</v>
      </c>
      <c r="W53" s="91" t="str">
        <f t="shared" si="0"/>
        <v>Spełnia  art. 243</v>
      </c>
      <c r="X53" s="91" t="str">
        <f t="shared" si="0"/>
        <v>Spełnia  art. 243</v>
      </c>
      <c r="Y53" s="91" t="str">
        <f t="shared" si="0"/>
        <v>Spełnia  art. 243</v>
      </c>
      <c r="Z53" s="91" t="str">
        <f t="shared" si="0"/>
        <v>Spełnia  art. 243</v>
      </c>
      <c r="AA53" s="91" t="str">
        <f t="shared" si="0"/>
        <v>Spełnia  art. 243</v>
      </c>
      <c r="AB53" s="91" t="str">
        <f t="shared" si="0"/>
        <v>Spełnia  art. 243</v>
      </c>
      <c r="AC53" s="91" t="str">
        <f t="shared" si="0"/>
        <v>Spełnia  art. 243</v>
      </c>
      <c r="AD53" s="91" t="str">
        <f t="shared" si="0"/>
        <v>Spełnia  art. 243</v>
      </c>
      <c r="AE53" s="91" t="str">
        <f t="shared" ref="AE53:AO53" si="1">IF(AE52&lt;=AE$51,"Spełnia  art. 243","Nie spełnia art. 243")</f>
        <v>Spełnia  art. 243</v>
      </c>
      <c r="AF53" s="91" t="str">
        <f t="shared" si="1"/>
        <v>Spełnia  art. 243</v>
      </c>
      <c r="AG53" s="91" t="str">
        <f t="shared" si="1"/>
        <v>Spełnia  art. 243</v>
      </c>
      <c r="AH53" s="91" t="str">
        <f t="shared" si="1"/>
        <v>Spełnia  art. 243</v>
      </c>
      <c r="AI53" s="91" t="str">
        <f t="shared" si="1"/>
        <v>Spełnia  art. 243</v>
      </c>
      <c r="AJ53" s="91" t="str">
        <f t="shared" si="1"/>
        <v>Spełnia  art. 243</v>
      </c>
      <c r="AK53" s="91" t="str">
        <f t="shared" si="1"/>
        <v>Spełnia  art. 243</v>
      </c>
      <c r="AL53" s="91" t="str">
        <f t="shared" si="1"/>
        <v>Spełnia  art. 243</v>
      </c>
      <c r="AM53" s="91" t="str">
        <f t="shared" si="1"/>
        <v>Spełnia  art. 243</v>
      </c>
      <c r="AN53" s="91" t="str">
        <f t="shared" si="1"/>
        <v>Spełnia  art. 243</v>
      </c>
      <c r="AO53" s="91" t="str">
        <f t="shared" si="1"/>
        <v>Spełnia  art. 243</v>
      </c>
    </row>
    <row r="54" spans="1:41" ht="25.5">
      <c r="A54" s="92">
        <v>22</v>
      </c>
      <c r="B54" s="93" t="s">
        <v>77</v>
      </c>
      <c r="C54" s="89">
        <f>0.0479</f>
        <v>4.7899999999999998E-2</v>
      </c>
      <c r="D54" s="89">
        <f>0.053</f>
        <v>5.2999999999999999E-2</v>
      </c>
      <c r="E54" s="89">
        <f>0.0695</f>
        <v>6.9500000000000006E-2</v>
      </c>
      <c r="F54" s="89">
        <f>0.0562</f>
        <v>5.62E-2</v>
      </c>
      <c r="G54" s="89">
        <f>0.0523</f>
        <v>5.2299999999999999E-2</v>
      </c>
      <c r="H54" s="89">
        <f>0.0464</f>
        <v>4.6399999999999997E-2</v>
      </c>
      <c r="I54" s="89">
        <f>0.0169</f>
        <v>1.6899999999999998E-2</v>
      </c>
      <c r="J54" s="89">
        <f>0</f>
        <v>0</v>
      </c>
      <c r="K54" s="89">
        <f>0</f>
        <v>0</v>
      </c>
      <c r="L54" s="89">
        <f>0</f>
        <v>0</v>
      </c>
      <c r="M54" s="89">
        <f>0</f>
        <v>0</v>
      </c>
      <c r="N54" s="89">
        <f>0</f>
        <v>0</v>
      </c>
      <c r="O54" s="89">
        <f>0</f>
        <v>0</v>
      </c>
      <c r="P54" s="89">
        <f>0</f>
        <v>0</v>
      </c>
      <c r="Q54" s="89">
        <f>0</f>
        <v>0</v>
      </c>
      <c r="R54" s="89">
        <f>0</f>
        <v>0</v>
      </c>
      <c r="S54" s="89">
        <f>0</f>
        <v>0</v>
      </c>
      <c r="T54" s="89">
        <f>0</f>
        <v>0</v>
      </c>
      <c r="U54" s="89">
        <f>0</f>
        <v>0</v>
      </c>
      <c r="V54" s="89">
        <f>0</f>
        <v>0</v>
      </c>
      <c r="W54" s="89">
        <f>0</f>
        <v>0</v>
      </c>
      <c r="X54" s="89">
        <f>0</f>
        <v>0</v>
      </c>
      <c r="Y54" s="89">
        <f>0</f>
        <v>0</v>
      </c>
      <c r="Z54" s="89">
        <f>0</f>
        <v>0</v>
      </c>
      <c r="AA54" s="89">
        <f>0</f>
        <v>0</v>
      </c>
      <c r="AB54" s="89">
        <f>0</f>
        <v>0</v>
      </c>
      <c r="AC54" s="89">
        <f>0</f>
        <v>0</v>
      </c>
      <c r="AD54" s="89">
        <f>0</f>
        <v>0</v>
      </c>
      <c r="AE54" s="89">
        <f>0</f>
        <v>0</v>
      </c>
      <c r="AF54" s="89">
        <f>0</f>
        <v>0</v>
      </c>
      <c r="AG54" s="89">
        <f>0</f>
        <v>0</v>
      </c>
      <c r="AH54" s="89">
        <f>0</f>
        <v>0</v>
      </c>
      <c r="AI54" s="89">
        <f>0</f>
        <v>0</v>
      </c>
      <c r="AJ54" s="89">
        <f>0</f>
        <v>0</v>
      </c>
      <c r="AK54" s="89">
        <f>0</f>
        <v>0</v>
      </c>
      <c r="AL54" s="89">
        <f>0</f>
        <v>0</v>
      </c>
      <c r="AM54" s="89">
        <f>0</f>
        <v>0</v>
      </c>
      <c r="AN54" s="89">
        <f>0</f>
        <v>0</v>
      </c>
      <c r="AO54" s="89">
        <f>0</f>
        <v>0</v>
      </c>
    </row>
    <row r="55" spans="1:41" ht="25.5">
      <c r="A55" s="119" t="s">
        <v>148</v>
      </c>
      <c r="B55" s="120" t="s">
        <v>79</v>
      </c>
      <c r="C55" s="121" t="str">
        <f>IF(C54&lt;=C$51,"Spełnia  art. 243","Nie spełnia art. 243")</f>
        <v>Spełnia  art. 243</v>
      </c>
      <c r="D55" s="121" t="str">
        <f t="shared" ref="D55:AD55" si="2">IF(D54&lt;=D$51,"Spełnia  art. 243","Nie spełnia art. 243")</f>
        <v>Spełnia  art. 243</v>
      </c>
      <c r="E55" s="121" t="str">
        <f t="shared" si="2"/>
        <v>Spełnia  art. 243</v>
      </c>
      <c r="F55" s="121" t="str">
        <f t="shared" si="2"/>
        <v>Spełnia  art. 243</v>
      </c>
      <c r="G55" s="121" t="str">
        <f t="shared" si="2"/>
        <v>Spełnia  art. 243</v>
      </c>
      <c r="H55" s="121" t="str">
        <f t="shared" si="2"/>
        <v>Spełnia  art. 243</v>
      </c>
      <c r="I55" s="121" t="str">
        <f t="shared" si="2"/>
        <v>Spełnia  art. 243</v>
      </c>
      <c r="J55" s="121" t="str">
        <f t="shared" si="2"/>
        <v>Spełnia  art. 243</v>
      </c>
      <c r="K55" s="121" t="str">
        <f t="shared" si="2"/>
        <v>Spełnia  art. 243</v>
      </c>
      <c r="L55" s="121" t="str">
        <f t="shared" si="2"/>
        <v>Spełnia  art. 243</v>
      </c>
      <c r="M55" s="121" t="str">
        <f t="shared" si="2"/>
        <v>Spełnia  art. 243</v>
      </c>
      <c r="N55" s="121" t="str">
        <f t="shared" si="2"/>
        <v>Spełnia  art. 243</v>
      </c>
      <c r="O55" s="121" t="str">
        <f t="shared" si="2"/>
        <v>Spełnia  art. 243</v>
      </c>
      <c r="P55" s="121" t="str">
        <f t="shared" si="2"/>
        <v>Spełnia  art. 243</v>
      </c>
      <c r="Q55" s="121" t="str">
        <f t="shared" si="2"/>
        <v>Spełnia  art. 243</v>
      </c>
      <c r="R55" s="121" t="str">
        <f t="shared" si="2"/>
        <v>Spełnia  art. 243</v>
      </c>
      <c r="S55" s="121" t="str">
        <f t="shared" si="2"/>
        <v>Spełnia  art. 243</v>
      </c>
      <c r="T55" s="121" t="str">
        <f t="shared" si="2"/>
        <v>Spełnia  art. 243</v>
      </c>
      <c r="U55" s="121" t="str">
        <f t="shared" si="2"/>
        <v>Spełnia  art. 243</v>
      </c>
      <c r="V55" s="121" t="str">
        <f t="shared" si="2"/>
        <v>Spełnia  art. 243</v>
      </c>
      <c r="W55" s="121" t="str">
        <f t="shared" si="2"/>
        <v>Spełnia  art. 243</v>
      </c>
      <c r="X55" s="121" t="str">
        <f t="shared" si="2"/>
        <v>Spełnia  art. 243</v>
      </c>
      <c r="Y55" s="121" t="str">
        <f t="shared" si="2"/>
        <v>Spełnia  art. 243</v>
      </c>
      <c r="Z55" s="121" t="str">
        <f t="shared" si="2"/>
        <v>Spełnia  art. 243</v>
      </c>
      <c r="AA55" s="121" t="str">
        <f t="shared" si="2"/>
        <v>Spełnia  art. 243</v>
      </c>
      <c r="AB55" s="121" t="str">
        <f t="shared" si="2"/>
        <v>Spełnia  art. 243</v>
      </c>
      <c r="AC55" s="121" t="str">
        <f t="shared" si="2"/>
        <v>Spełnia  art. 243</v>
      </c>
      <c r="AD55" s="121" t="str">
        <f t="shared" si="2"/>
        <v>Spełnia  art. 243</v>
      </c>
      <c r="AE55" s="121" t="str">
        <f t="shared" ref="AE55:AO55" si="3">IF(AE54&lt;=AE$51,"Spełnia  art. 243","Nie spełnia art. 243")</f>
        <v>Spełnia  art. 243</v>
      </c>
      <c r="AF55" s="121" t="str">
        <f t="shared" si="3"/>
        <v>Spełnia  art. 243</v>
      </c>
      <c r="AG55" s="121" t="str">
        <f t="shared" si="3"/>
        <v>Spełnia  art. 243</v>
      </c>
      <c r="AH55" s="121" t="str">
        <f t="shared" si="3"/>
        <v>Spełnia  art. 243</v>
      </c>
      <c r="AI55" s="121" t="str">
        <f t="shared" si="3"/>
        <v>Spełnia  art. 243</v>
      </c>
      <c r="AJ55" s="121" t="str">
        <f t="shared" si="3"/>
        <v>Spełnia  art. 243</v>
      </c>
      <c r="AK55" s="121" t="str">
        <f t="shared" si="3"/>
        <v>Spełnia  art. 243</v>
      </c>
      <c r="AL55" s="121" t="str">
        <f t="shared" si="3"/>
        <v>Spełnia  art. 243</v>
      </c>
      <c r="AM55" s="121" t="str">
        <f t="shared" si="3"/>
        <v>Spełnia  art. 243</v>
      </c>
      <c r="AN55" s="121" t="str">
        <f t="shared" si="3"/>
        <v>Spełnia  art. 243</v>
      </c>
      <c r="AO55" s="121" t="str">
        <f t="shared" si="3"/>
        <v>Spełnia  art. 243</v>
      </c>
    </row>
    <row r="56" spans="1:41" ht="12.75">
      <c r="A56" s="122">
        <v>23</v>
      </c>
      <c r="B56" s="123" t="s">
        <v>149</v>
      </c>
      <c r="C56" s="107">
        <f>7927158.05</f>
        <v>7927158.0499999998</v>
      </c>
      <c r="D56" s="107">
        <f>7999664</f>
        <v>7999664</v>
      </c>
      <c r="E56" s="107">
        <f>8252557</f>
        <v>8252557</v>
      </c>
      <c r="F56" s="107">
        <f>8401495</f>
        <v>8401495</v>
      </c>
      <c r="G56" s="107">
        <f>8611532</f>
        <v>8611532</v>
      </c>
      <c r="H56" s="107">
        <f>8826820</f>
        <v>8826820</v>
      </c>
      <c r="I56" s="107">
        <f>9047491</f>
        <v>9047491</v>
      </c>
      <c r="J56" s="107">
        <f>0</f>
        <v>0</v>
      </c>
      <c r="K56" s="107">
        <f>0</f>
        <v>0</v>
      </c>
      <c r="L56" s="107">
        <f>0</f>
        <v>0</v>
      </c>
      <c r="M56" s="107">
        <f>0</f>
        <v>0</v>
      </c>
      <c r="N56" s="107">
        <f>0</f>
        <v>0</v>
      </c>
      <c r="O56" s="107">
        <f>0</f>
        <v>0</v>
      </c>
      <c r="P56" s="107">
        <f>0</f>
        <v>0</v>
      </c>
      <c r="Q56" s="107">
        <f>0</f>
        <v>0</v>
      </c>
      <c r="R56" s="107">
        <f>0</f>
        <v>0</v>
      </c>
      <c r="S56" s="107">
        <f>0</f>
        <v>0</v>
      </c>
      <c r="T56" s="107">
        <f>0</f>
        <v>0</v>
      </c>
      <c r="U56" s="107">
        <f>0</f>
        <v>0</v>
      </c>
      <c r="V56" s="107">
        <f>0</f>
        <v>0</v>
      </c>
      <c r="W56" s="107">
        <f>0</f>
        <v>0</v>
      </c>
      <c r="X56" s="107">
        <f>0</f>
        <v>0</v>
      </c>
      <c r="Y56" s="107">
        <f>0</f>
        <v>0</v>
      </c>
      <c r="Z56" s="107">
        <f>0</f>
        <v>0</v>
      </c>
      <c r="AA56" s="107">
        <f>0</f>
        <v>0</v>
      </c>
      <c r="AB56" s="107">
        <f>0</f>
        <v>0</v>
      </c>
      <c r="AC56" s="107">
        <f>0</f>
        <v>0</v>
      </c>
      <c r="AD56" s="107">
        <f>0</f>
        <v>0</v>
      </c>
      <c r="AE56" s="107">
        <f>0</f>
        <v>0</v>
      </c>
      <c r="AF56" s="107">
        <f>0</f>
        <v>0</v>
      </c>
      <c r="AG56" s="107">
        <f>0</f>
        <v>0</v>
      </c>
      <c r="AH56" s="107">
        <f>0</f>
        <v>0</v>
      </c>
      <c r="AI56" s="107">
        <f>0</f>
        <v>0</v>
      </c>
      <c r="AJ56" s="107">
        <f>0</f>
        <v>0</v>
      </c>
      <c r="AK56" s="107">
        <f>0</f>
        <v>0</v>
      </c>
      <c r="AL56" s="107">
        <f>0</f>
        <v>0</v>
      </c>
      <c r="AM56" s="107">
        <f>0</f>
        <v>0</v>
      </c>
      <c r="AN56" s="107">
        <f>0</f>
        <v>0</v>
      </c>
      <c r="AO56" s="107">
        <f>0</f>
        <v>0</v>
      </c>
    </row>
    <row r="57" spans="1:41" ht="12.75">
      <c r="A57" s="94">
        <v>24</v>
      </c>
      <c r="B57" s="95" t="s">
        <v>150</v>
      </c>
      <c r="C57" s="85">
        <f>7157853.55</f>
        <v>7157853.5499999998</v>
      </c>
      <c r="D57" s="85">
        <f>6875322</f>
        <v>6875322</v>
      </c>
      <c r="E57" s="85">
        <f>7052346</f>
        <v>7052346</v>
      </c>
      <c r="F57" s="85">
        <f>7281668</f>
        <v>7281668</v>
      </c>
      <c r="G57" s="85">
        <f>7475375</f>
        <v>7475375</v>
      </c>
      <c r="H57" s="85">
        <f>7674667</f>
        <v>7674667</v>
      </c>
      <c r="I57" s="85">
        <f>7877905</f>
        <v>7877905</v>
      </c>
      <c r="J57" s="85">
        <f>0</f>
        <v>0</v>
      </c>
      <c r="K57" s="85">
        <f>0</f>
        <v>0</v>
      </c>
      <c r="L57" s="85">
        <f>0</f>
        <v>0</v>
      </c>
      <c r="M57" s="85">
        <f>0</f>
        <v>0</v>
      </c>
      <c r="N57" s="85">
        <f>0</f>
        <v>0</v>
      </c>
      <c r="O57" s="85">
        <f>0</f>
        <v>0</v>
      </c>
      <c r="P57" s="85">
        <f>0</f>
        <v>0</v>
      </c>
      <c r="Q57" s="85">
        <f>0</f>
        <v>0</v>
      </c>
      <c r="R57" s="85">
        <f>0</f>
        <v>0</v>
      </c>
      <c r="S57" s="85">
        <f>0</f>
        <v>0</v>
      </c>
      <c r="T57" s="85">
        <f>0</f>
        <v>0</v>
      </c>
      <c r="U57" s="85">
        <f>0</f>
        <v>0</v>
      </c>
      <c r="V57" s="85">
        <f>0</f>
        <v>0</v>
      </c>
      <c r="W57" s="85">
        <f>0</f>
        <v>0</v>
      </c>
      <c r="X57" s="85">
        <f>0</f>
        <v>0</v>
      </c>
      <c r="Y57" s="85">
        <f>0</f>
        <v>0</v>
      </c>
      <c r="Z57" s="85">
        <f>0</f>
        <v>0</v>
      </c>
      <c r="AA57" s="85">
        <f>0</f>
        <v>0</v>
      </c>
      <c r="AB57" s="85">
        <f>0</f>
        <v>0</v>
      </c>
      <c r="AC57" s="85">
        <f>0</f>
        <v>0</v>
      </c>
      <c r="AD57" s="85">
        <f>0</f>
        <v>0</v>
      </c>
      <c r="AE57" s="85">
        <f>0</f>
        <v>0</v>
      </c>
      <c r="AF57" s="85">
        <f>0</f>
        <v>0</v>
      </c>
      <c r="AG57" s="85">
        <f>0</f>
        <v>0</v>
      </c>
      <c r="AH57" s="85">
        <f>0</f>
        <v>0</v>
      </c>
      <c r="AI57" s="85">
        <f>0</f>
        <v>0</v>
      </c>
      <c r="AJ57" s="85">
        <f>0</f>
        <v>0</v>
      </c>
      <c r="AK57" s="85">
        <f>0</f>
        <v>0</v>
      </c>
      <c r="AL57" s="85">
        <f>0</f>
        <v>0</v>
      </c>
      <c r="AM57" s="85">
        <f>0</f>
        <v>0</v>
      </c>
      <c r="AN57" s="85">
        <f>0</f>
        <v>0</v>
      </c>
      <c r="AO57" s="85">
        <f>0</f>
        <v>0</v>
      </c>
    </row>
    <row r="58" spans="1:41" ht="12.75">
      <c r="A58" s="119">
        <v>25</v>
      </c>
      <c r="B58" s="124" t="s">
        <v>49</v>
      </c>
      <c r="C58" s="98">
        <f>769304.5</f>
        <v>769304.5</v>
      </c>
      <c r="D58" s="98">
        <f>1124342</f>
        <v>1124342</v>
      </c>
      <c r="E58" s="98">
        <f>1200211</f>
        <v>1200211</v>
      </c>
      <c r="F58" s="98">
        <f>1119827</f>
        <v>1119827</v>
      </c>
      <c r="G58" s="98">
        <f>1136157</f>
        <v>1136157</v>
      </c>
      <c r="H58" s="98">
        <f>1152153</f>
        <v>1152153</v>
      </c>
      <c r="I58" s="98">
        <f>1169586</f>
        <v>1169586</v>
      </c>
      <c r="J58" s="98">
        <f>0</f>
        <v>0</v>
      </c>
      <c r="K58" s="98">
        <f>0</f>
        <v>0</v>
      </c>
      <c r="L58" s="98">
        <f>0</f>
        <v>0</v>
      </c>
      <c r="M58" s="98">
        <f>0</f>
        <v>0</v>
      </c>
      <c r="N58" s="98">
        <f>0</f>
        <v>0</v>
      </c>
      <c r="O58" s="98">
        <f>0</f>
        <v>0</v>
      </c>
      <c r="P58" s="98">
        <f>0</f>
        <v>0</v>
      </c>
      <c r="Q58" s="98">
        <f>0</f>
        <v>0</v>
      </c>
      <c r="R58" s="98">
        <f>0</f>
        <v>0</v>
      </c>
      <c r="S58" s="98">
        <f>0</f>
        <v>0</v>
      </c>
      <c r="T58" s="98">
        <f>0</f>
        <v>0</v>
      </c>
      <c r="U58" s="98">
        <f>0</f>
        <v>0</v>
      </c>
      <c r="V58" s="98">
        <f>0</f>
        <v>0</v>
      </c>
      <c r="W58" s="98">
        <f>0</f>
        <v>0</v>
      </c>
      <c r="X58" s="98">
        <f>0</f>
        <v>0</v>
      </c>
      <c r="Y58" s="98">
        <f>0</f>
        <v>0</v>
      </c>
      <c r="Z58" s="98">
        <f>0</f>
        <v>0</v>
      </c>
      <c r="AA58" s="98">
        <f>0</f>
        <v>0</v>
      </c>
      <c r="AB58" s="98">
        <f>0</f>
        <v>0</v>
      </c>
      <c r="AC58" s="98">
        <f>0</f>
        <v>0</v>
      </c>
      <c r="AD58" s="98">
        <f>0</f>
        <v>0</v>
      </c>
      <c r="AE58" s="98">
        <f>0</f>
        <v>0</v>
      </c>
      <c r="AF58" s="98">
        <f>0</f>
        <v>0</v>
      </c>
      <c r="AG58" s="98">
        <f>0</f>
        <v>0</v>
      </c>
      <c r="AH58" s="98">
        <f>0</f>
        <v>0</v>
      </c>
      <c r="AI58" s="98">
        <f>0</f>
        <v>0</v>
      </c>
      <c r="AJ58" s="98">
        <f>0</f>
        <v>0</v>
      </c>
      <c r="AK58" s="98">
        <f>0</f>
        <v>0</v>
      </c>
      <c r="AL58" s="98">
        <f>0</f>
        <v>0</v>
      </c>
      <c r="AM58" s="98">
        <f>0</f>
        <v>0</v>
      </c>
      <c r="AN58" s="98">
        <f>0</f>
        <v>0</v>
      </c>
      <c r="AO58" s="98">
        <f>0</f>
        <v>0</v>
      </c>
    </row>
    <row r="59" spans="1:41" ht="12.75">
      <c r="A59" s="122"/>
      <c r="B59" s="123" t="s">
        <v>167</v>
      </c>
      <c r="C59" s="107">
        <f>+C10</f>
        <v>1840121</v>
      </c>
      <c r="D59" s="107">
        <f t="shared" ref="D59:AO59" si="4">+D10</f>
        <v>917851</v>
      </c>
      <c r="E59" s="107">
        <f t="shared" si="4"/>
        <v>0</v>
      </c>
      <c r="F59" s="107">
        <f t="shared" si="4"/>
        <v>0</v>
      </c>
      <c r="G59" s="107">
        <f t="shared" si="4"/>
        <v>0</v>
      </c>
      <c r="H59" s="107">
        <f t="shared" si="4"/>
        <v>0</v>
      </c>
      <c r="I59" s="107">
        <f t="shared" si="4"/>
        <v>0</v>
      </c>
      <c r="J59" s="107">
        <f t="shared" si="4"/>
        <v>0</v>
      </c>
      <c r="K59" s="107">
        <f t="shared" si="4"/>
        <v>0</v>
      </c>
      <c r="L59" s="107">
        <f t="shared" si="4"/>
        <v>0</v>
      </c>
      <c r="M59" s="107">
        <f t="shared" si="4"/>
        <v>0</v>
      </c>
      <c r="N59" s="107">
        <f t="shared" si="4"/>
        <v>0</v>
      </c>
      <c r="O59" s="107">
        <f t="shared" si="4"/>
        <v>0</v>
      </c>
      <c r="P59" s="107">
        <f t="shared" si="4"/>
        <v>0</v>
      </c>
      <c r="Q59" s="107">
        <f t="shared" si="4"/>
        <v>0</v>
      </c>
      <c r="R59" s="107">
        <f t="shared" si="4"/>
        <v>0</v>
      </c>
      <c r="S59" s="107">
        <f t="shared" si="4"/>
        <v>0</v>
      </c>
      <c r="T59" s="107">
        <f t="shared" si="4"/>
        <v>0</v>
      </c>
      <c r="U59" s="107">
        <f t="shared" si="4"/>
        <v>0</v>
      </c>
      <c r="V59" s="107">
        <f t="shared" si="4"/>
        <v>0</v>
      </c>
      <c r="W59" s="107">
        <f t="shared" si="4"/>
        <v>0</v>
      </c>
      <c r="X59" s="107">
        <f t="shared" si="4"/>
        <v>0</v>
      </c>
      <c r="Y59" s="107">
        <f t="shared" si="4"/>
        <v>0</v>
      </c>
      <c r="Z59" s="107">
        <f t="shared" si="4"/>
        <v>0</v>
      </c>
      <c r="AA59" s="107">
        <f t="shared" si="4"/>
        <v>0</v>
      </c>
      <c r="AB59" s="107">
        <f t="shared" si="4"/>
        <v>0</v>
      </c>
      <c r="AC59" s="107">
        <f t="shared" si="4"/>
        <v>0</v>
      </c>
      <c r="AD59" s="107">
        <f t="shared" si="4"/>
        <v>0</v>
      </c>
      <c r="AE59" s="107">
        <f t="shared" si="4"/>
        <v>0</v>
      </c>
      <c r="AF59" s="107">
        <f t="shared" si="4"/>
        <v>0</v>
      </c>
      <c r="AG59" s="107">
        <f t="shared" si="4"/>
        <v>0</v>
      </c>
      <c r="AH59" s="107">
        <f t="shared" si="4"/>
        <v>0</v>
      </c>
      <c r="AI59" s="107">
        <f t="shared" si="4"/>
        <v>0</v>
      </c>
      <c r="AJ59" s="107">
        <f t="shared" si="4"/>
        <v>0</v>
      </c>
      <c r="AK59" s="107">
        <f t="shared" si="4"/>
        <v>0</v>
      </c>
      <c r="AL59" s="107">
        <f t="shared" si="4"/>
        <v>0</v>
      </c>
      <c r="AM59" s="107">
        <f t="shared" si="4"/>
        <v>0</v>
      </c>
      <c r="AN59" s="107">
        <f t="shared" si="4"/>
        <v>0</v>
      </c>
      <c r="AO59" s="107">
        <f t="shared" si="4"/>
        <v>0</v>
      </c>
    </row>
    <row r="60" spans="1:41" ht="12.75">
      <c r="A60" s="94"/>
      <c r="B60" s="95" t="s">
        <v>168</v>
      </c>
      <c r="C60" s="85">
        <f>+C33</f>
        <v>2263831.5</v>
      </c>
      <c r="D60" s="85">
        <f t="shared" ref="D60:AO60" si="5">+D33</f>
        <v>2123505.64</v>
      </c>
      <c r="E60" s="85">
        <f t="shared" si="5"/>
        <v>727324</v>
      </c>
      <c r="F60" s="85">
        <f t="shared" si="5"/>
        <v>723076</v>
      </c>
      <c r="G60" s="85">
        <f t="shared" si="5"/>
        <v>739406</v>
      </c>
      <c r="H60" s="85">
        <f t="shared" si="5"/>
        <v>772475</v>
      </c>
      <c r="I60" s="85">
        <f t="shared" si="5"/>
        <v>1020768</v>
      </c>
      <c r="J60" s="85">
        <f t="shared" si="5"/>
        <v>0</v>
      </c>
      <c r="K60" s="85">
        <f t="shared" si="5"/>
        <v>0</v>
      </c>
      <c r="L60" s="85">
        <f t="shared" si="5"/>
        <v>0</v>
      </c>
      <c r="M60" s="85">
        <f t="shared" si="5"/>
        <v>0</v>
      </c>
      <c r="N60" s="85">
        <f t="shared" si="5"/>
        <v>0</v>
      </c>
      <c r="O60" s="85">
        <f t="shared" si="5"/>
        <v>0</v>
      </c>
      <c r="P60" s="85">
        <f t="shared" si="5"/>
        <v>0</v>
      </c>
      <c r="Q60" s="85">
        <f t="shared" si="5"/>
        <v>0</v>
      </c>
      <c r="R60" s="85">
        <f t="shared" si="5"/>
        <v>0</v>
      </c>
      <c r="S60" s="85">
        <f t="shared" si="5"/>
        <v>0</v>
      </c>
      <c r="T60" s="85">
        <f t="shared" si="5"/>
        <v>0</v>
      </c>
      <c r="U60" s="85">
        <f t="shared" si="5"/>
        <v>0</v>
      </c>
      <c r="V60" s="85">
        <f t="shared" si="5"/>
        <v>0</v>
      </c>
      <c r="W60" s="85">
        <f t="shared" si="5"/>
        <v>0</v>
      </c>
      <c r="X60" s="85">
        <f t="shared" si="5"/>
        <v>0</v>
      </c>
      <c r="Y60" s="85">
        <f t="shared" si="5"/>
        <v>0</v>
      </c>
      <c r="Z60" s="85">
        <f t="shared" si="5"/>
        <v>0</v>
      </c>
      <c r="AA60" s="85">
        <f t="shared" si="5"/>
        <v>0</v>
      </c>
      <c r="AB60" s="85">
        <f t="shared" si="5"/>
        <v>0</v>
      </c>
      <c r="AC60" s="85">
        <f t="shared" si="5"/>
        <v>0</v>
      </c>
      <c r="AD60" s="85">
        <f t="shared" si="5"/>
        <v>0</v>
      </c>
      <c r="AE60" s="85">
        <f t="shared" si="5"/>
        <v>0</v>
      </c>
      <c r="AF60" s="85">
        <f t="shared" si="5"/>
        <v>0</v>
      </c>
      <c r="AG60" s="85">
        <f t="shared" si="5"/>
        <v>0</v>
      </c>
      <c r="AH60" s="85">
        <f t="shared" si="5"/>
        <v>0</v>
      </c>
      <c r="AI60" s="85">
        <f t="shared" si="5"/>
        <v>0</v>
      </c>
      <c r="AJ60" s="85">
        <f t="shared" si="5"/>
        <v>0</v>
      </c>
      <c r="AK60" s="85">
        <f t="shared" si="5"/>
        <v>0</v>
      </c>
      <c r="AL60" s="85">
        <f t="shared" si="5"/>
        <v>0</v>
      </c>
      <c r="AM60" s="85">
        <f t="shared" si="5"/>
        <v>0</v>
      </c>
      <c r="AN60" s="85">
        <f t="shared" si="5"/>
        <v>0</v>
      </c>
      <c r="AO60" s="85">
        <f t="shared" si="5"/>
        <v>0</v>
      </c>
    </row>
    <row r="61" spans="1:41" ht="12.75">
      <c r="A61" s="119"/>
      <c r="B61" s="124" t="s">
        <v>166</v>
      </c>
      <c r="C61" s="98">
        <f>+C59-C60</f>
        <v>-423710.5</v>
      </c>
      <c r="D61" s="98">
        <f t="shared" ref="D61:AO61" si="6">+D59-D60</f>
        <v>-1205654.6400000001</v>
      </c>
      <c r="E61" s="98">
        <f t="shared" si="6"/>
        <v>-727324</v>
      </c>
      <c r="F61" s="98">
        <f t="shared" si="6"/>
        <v>-723076</v>
      </c>
      <c r="G61" s="98">
        <f t="shared" si="6"/>
        <v>-739406</v>
      </c>
      <c r="H61" s="98">
        <f t="shared" si="6"/>
        <v>-772475</v>
      </c>
      <c r="I61" s="98">
        <f t="shared" si="6"/>
        <v>-1020768</v>
      </c>
      <c r="J61" s="98">
        <f t="shared" si="6"/>
        <v>0</v>
      </c>
      <c r="K61" s="98">
        <f t="shared" si="6"/>
        <v>0</v>
      </c>
      <c r="L61" s="98">
        <f t="shared" si="6"/>
        <v>0</v>
      </c>
      <c r="M61" s="98">
        <f t="shared" si="6"/>
        <v>0</v>
      </c>
      <c r="N61" s="98">
        <f t="shared" si="6"/>
        <v>0</v>
      </c>
      <c r="O61" s="98">
        <f t="shared" si="6"/>
        <v>0</v>
      </c>
      <c r="P61" s="98">
        <f t="shared" si="6"/>
        <v>0</v>
      </c>
      <c r="Q61" s="98">
        <f t="shared" si="6"/>
        <v>0</v>
      </c>
      <c r="R61" s="98">
        <f t="shared" si="6"/>
        <v>0</v>
      </c>
      <c r="S61" s="98">
        <f t="shared" si="6"/>
        <v>0</v>
      </c>
      <c r="T61" s="98">
        <f t="shared" si="6"/>
        <v>0</v>
      </c>
      <c r="U61" s="98">
        <f t="shared" si="6"/>
        <v>0</v>
      </c>
      <c r="V61" s="98">
        <f t="shared" si="6"/>
        <v>0</v>
      </c>
      <c r="W61" s="98">
        <f t="shared" si="6"/>
        <v>0</v>
      </c>
      <c r="X61" s="98">
        <f t="shared" si="6"/>
        <v>0</v>
      </c>
      <c r="Y61" s="98">
        <f t="shared" si="6"/>
        <v>0</v>
      </c>
      <c r="Z61" s="98">
        <f t="shared" si="6"/>
        <v>0</v>
      </c>
      <c r="AA61" s="98">
        <f t="shared" si="6"/>
        <v>0</v>
      </c>
      <c r="AB61" s="98">
        <f t="shared" si="6"/>
        <v>0</v>
      </c>
      <c r="AC61" s="98">
        <f t="shared" si="6"/>
        <v>0</v>
      </c>
      <c r="AD61" s="98">
        <f t="shared" si="6"/>
        <v>0</v>
      </c>
      <c r="AE61" s="98">
        <f t="shared" si="6"/>
        <v>0</v>
      </c>
      <c r="AF61" s="98">
        <f t="shared" si="6"/>
        <v>0</v>
      </c>
      <c r="AG61" s="98">
        <f t="shared" si="6"/>
        <v>0</v>
      </c>
      <c r="AH61" s="98">
        <f t="shared" si="6"/>
        <v>0</v>
      </c>
      <c r="AI61" s="98">
        <f t="shared" si="6"/>
        <v>0</v>
      </c>
      <c r="AJ61" s="98">
        <f t="shared" si="6"/>
        <v>0</v>
      </c>
      <c r="AK61" s="98">
        <f t="shared" si="6"/>
        <v>0</v>
      </c>
      <c r="AL61" s="98">
        <f t="shared" si="6"/>
        <v>0</v>
      </c>
      <c r="AM61" s="98">
        <f t="shared" si="6"/>
        <v>0</v>
      </c>
      <c r="AN61" s="98">
        <f t="shared" si="6"/>
        <v>0</v>
      </c>
      <c r="AO61" s="98">
        <f t="shared" si="6"/>
        <v>0</v>
      </c>
    </row>
    <row r="62" spans="1:41" ht="12.75">
      <c r="A62" s="122">
        <v>26</v>
      </c>
      <c r="B62" s="123" t="s">
        <v>151</v>
      </c>
      <c r="C62" s="107">
        <f>9767279.05</f>
        <v>9767279.0500000007</v>
      </c>
      <c r="D62" s="107">
        <f>8917515</f>
        <v>8917515</v>
      </c>
      <c r="E62" s="107">
        <f>8252557</f>
        <v>8252557</v>
      </c>
      <c r="F62" s="107">
        <f>8401495</f>
        <v>8401495</v>
      </c>
      <c r="G62" s="107">
        <f>8611532</f>
        <v>8611532</v>
      </c>
      <c r="H62" s="107">
        <f>8826820</f>
        <v>8826820</v>
      </c>
      <c r="I62" s="107">
        <f>9047491</f>
        <v>9047491</v>
      </c>
      <c r="J62" s="107">
        <f>0</f>
        <v>0</v>
      </c>
      <c r="K62" s="107">
        <f>0</f>
        <v>0</v>
      </c>
      <c r="L62" s="107">
        <f>0</f>
        <v>0</v>
      </c>
      <c r="M62" s="107">
        <f>0</f>
        <v>0</v>
      </c>
      <c r="N62" s="107">
        <f>0</f>
        <v>0</v>
      </c>
      <c r="O62" s="107">
        <f>0</f>
        <v>0</v>
      </c>
      <c r="P62" s="107">
        <f>0</f>
        <v>0</v>
      </c>
      <c r="Q62" s="107">
        <f>0</f>
        <v>0</v>
      </c>
      <c r="R62" s="107">
        <f>0</f>
        <v>0</v>
      </c>
      <c r="S62" s="107">
        <f>0</f>
        <v>0</v>
      </c>
      <c r="T62" s="107">
        <f>0</f>
        <v>0</v>
      </c>
      <c r="U62" s="107">
        <f>0</f>
        <v>0</v>
      </c>
      <c r="V62" s="107">
        <f>0</f>
        <v>0</v>
      </c>
      <c r="W62" s="107">
        <f>0</f>
        <v>0</v>
      </c>
      <c r="X62" s="107">
        <f>0</f>
        <v>0</v>
      </c>
      <c r="Y62" s="107">
        <f>0</f>
        <v>0</v>
      </c>
      <c r="Z62" s="107">
        <f>0</f>
        <v>0</v>
      </c>
      <c r="AA62" s="107">
        <f>0</f>
        <v>0</v>
      </c>
      <c r="AB62" s="107">
        <f>0</f>
        <v>0</v>
      </c>
      <c r="AC62" s="107">
        <f>0</f>
        <v>0</v>
      </c>
      <c r="AD62" s="107">
        <f>0</f>
        <v>0</v>
      </c>
      <c r="AE62" s="107">
        <f>0</f>
        <v>0</v>
      </c>
      <c r="AF62" s="107">
        <f>0</f>
        <v>0</v>
      </c>
      <c r="AG62" s="107">
        <f>0</f>
        <v>0</v>
      </c>
      <c r="AH62" s="107">
        <f>0</f>
        <v>0</v>
      </c>
      <c r="AI62" s="107">
        <f>0</f>
        <v>0</v>
      </c>
      <c r="AJ62" s="107">
        <f>0</f>
        <v>0</v>
      </c>
      <c r="AK62" s="107">
        <f>0</f>
        <v>0</v>
      </c>
      <c r="AL62" s="107">
        <f>0</f>
        <v>0</v>
      </c>
      <c r="AM62" s="107">
        <f>0</f>
        <v>0</v>
      </c>
      <c r="AN62" s="107">
        <f>0</f>
        <v>0</v>
      </c>
      <c r="AO62" s="107">
        <f>0</f>
        <v>0</v>
      </c>
    </row>
    <row r="63" spans="1:41" ht="12.75">
      <c r="A63" s="94">
        <v>27</v>
      </c>
      <c r="B63" s="95" t="s">
        <v>46</v>
      </c>
      <c r="C63" s="85">
        <f>9421685.05</f>
        <v>9421685.0500000007</v>
      </c>
      <c r="D63" s="85">
        <f>8998827.64</f>
        <v>8998827.6400000006</v>
      </c>
      <c r="E63" s="85">
        <f>7779670</f>
        <v>7779670</v>
      </c>
      <c r="F63" s="85">
        <f>8004744</f>
        <v>8004744</v>
      </c>
      <c r="G63" s="85">
        <f>8214781</f>
        <v>8214781</v>
      </c>
      <c r="H63" s="85">
        <f>8447142</f>
        <v>8447142</v>
      </c>
      <c r="I63" s="85">
        <f>8898673</f>
        <v>8898673</v>
      </c>
      <c r="J63" s="85">
        <f>0</f>
        <v>0</v>
      </c>
      <c r="K63" s="85">
        <f>0</f>
        <v>0</v>
      </c>
      <c r="L63" s="85">
        <f>0</f>
        <v>0</v>
      </c>
      <c r="M63" s="85">
        <f>0</f>
        <v>0</v>
      </c>
      <c r="N63" s="85">
        <f>0</f>
        <v>0</v>
      </c>
      <c r="O63" s="85">
        <f>0</f>
        <v>0</v>
      </c>
      <c r="P63" s="85">
        <f>0</f>
        <v>0</v>
      </c>
      <c r="Q63" s="85">
        <f>0</f>
        <v>0</v>
      </c>
      <c r="R63" s="85">
        <f>0</f>
        <v>0</v>
      </c>
      <c r="S63" s="85">
        <f>0</f>
        <v>0</v>
      </c>
      <c r="T63" s="85">
        <f>0</f>
        <v>0</v>
      </c>
      <c r="U63" s="85">
        <f>0</f>
        <v>0</v>
      </c>
      <c r="V63" s="85">
        <f>0</f>
        <v>0</v>
      </c>
      <c r="W63" s="85">
        <f>0</f>
        <v>0</v>
      </c>
      <c r="X63" s="85">
        <f>0</f>
        <v>0</v>
      </c>
      <c r="Y63" s="85">
        <f>0</f>
        <v>0</v>
      </c>
      <c r="Z63" s="85">
        <f>0</f>
        <v>0</v>
      </c>
      <c r="AA63" s="85">
        <f>0</f>
        <v>0</v>
      </c>
      <c r="AB63" s="85">
        <f>0</f>
        <v>0</v>
      </c>
      <c r="AC63" s="85">
        <f>0</f>
        <v>0</v>
      </c>
      <c r="AD63" s="85">
        <f>0</f>
        <v>0</v>
      </c>
      <c r="AE63" s="85">
        <f>0</f>
        <v>0</v>
      </c>
      <c r="AF63" s="85">
        <f>0</f>
        <v>0</v>
      </c>
      <c r="AG63" s="85">
        <f>0</f>
        <v>0</v>
      </c>
      <c r="AH63" s="85">
        <f>0</f>
        <v>0</v>
      </c>
      <c r="AI63" s="85">
        <f>0</f>
        <v>0</v>
      </c>
      <c r="AJ63" s="85">
        <f>0</f>
        <v>0</v>
      </c>
      <c r="AK63" s="85">
        <f>0</f>
        <v>0</v>
      </c>
      <c r="AL63" s="85">
        <f>0</f>
        <v>0</v>
      </c>
      <c r="AM63" s="85">
        <f>0</f>
        <v>0</v>
      </c>
      <c r="AN63" s="85">
        <f>0</f>
        <v>0</v>
      </c>
      <c r="AO63" s="85">
        <f>0</f>
        <v>0</v>
      </c>
    </row>
    <row r="64" spans="1:41">
      <c r="A64" s="96">
        <v>28</v>
      </c>
      <c r="B64" s="127" t="s">
        <v>48</v>
      </c>
      <c r="C64" s="98">
        <f>345594</f>
        <v>345594</v>
      </c>
      <c r="D64" s="98">
        <f>-81312.64</f>
        <v>-81312.639999999999</v>
      </c>
      <c r="E64" s="98">
        <f>472887</f>
        <v>472887</v>
      </c>
      <c r="F64" s="98">
        <f>396751</f>
        <v>396751</v>
      </c>
      <c r="G64" s="98">
        <f>396751</f>
        <v>396751</v>
      </c>
      <c r="H64" s="98">
        <f>379678</f>
        <v>379678</v>
      </c>
      <c r="I64" s="98">
        <f>148818</f>
        <v>148818</v>
      </c>
      <c r="J64" s="98">
        <f>0</f>
        <v>0</v>
      </c>
      <c r="K64" s="98">
        <f>0</f>
        <v>0</v>
      </c>
      <c r="L64" s="98">
        <f>0</f>
        <v>0</v>
      </c>
      <c r="M64" s="98">
        <f>0</f>
        <v>0</v>
      </c>
      <c r="N64" s="98">
        <f>0</f>
        <v>0</v>
      </c>
      <c r="O64" s="98">
        <f>0</f>
        <v>0</v>
      </c>
      <c r="P64" s="98">
        <f>0</f>
        <v>0</v>
      </c>
      <c r="Q64" s="98">
        <f>0</f>
        <v>0</v>
      </c>
      <c r="R64" s="98">
        <f>0</f>
        <v>0</v>
      </c>
      <c r="S64" s="98">
        <f>0</f>
        <v>0</v>
      </c>
      <c r="T64" s="98">
        <f>0</f>
        <v>0</v>
      </c>
      <c r="U64" s="98">
        <f>0</f>
        <v>0</v>
      </c>
      <c r="V64" s="98">
        <f>0</f>
        <v>0</v>
      </c>
      <c r="W64" s="98">
        <f>0</f>
        <v>0</v>
      </c>
      <c r="X64" s="98">
        <f>0</f>
        <v>0</v>
      </c>
      <c r="Y64" s="98">
        <f>0</f>
        <v>0</v>
      </c>
      <c r="Z64" s="98">
        <f>0</f>
        <v>0</v>
      </c>
      <c r="AA64" s="98">
        <f>0</f>
        <v>0</v>
      </c>
      <c r="AB64" s="98">
        <f>0</f>
        <v>0</v>
      </c>
      <c r="AC64" s="98">
        <f>0</f>
        <v>0</v>
      </c>
      <c r="AD64" s="98">
        <f>0</f>
        <v>0</v>
      </c>
      <c r="AE64" s="98">
        <f>0</f>
        <v>0</v>
      </c>
      <c r="AF64" s="98">
        <f>0</f>
        <v>0</v>
      </c>
      <c r="AG64" s="98">
        <f>0</f>
        <v>0</v>
      </c>
      <c r="AH64" s="98">
        <f>0</f>
        <v>0</v>
      </c>
      <c r="AI64" s="98">
        <f>0</f>
        <v>0</v>
      </c>
      <c r="AJ64" s="98">
        <f>0</f>
        <v>0</v>
      </c>
      <c r="AK64" s="98">
        <f>0</f>
        <v>0</v>
      </c>
      <c r="AL64" s="98">
        <f>0</f>
        <v>0</v>
      </c>
      <c r="AM64" s="98">
        <f>0</f>
        <v>0</v>
      </c>
      <c r="AN64" s="98">
        <f>0</f>
        <v>0</v>
      </c>
      <c r="AO64" s="98">
        <f>0</f>
        <v>0</v>
      </c>
    </row>
    <row r="65" spans="1:41">
      <c r="A65" s="125">
        <v>29</v>
      </c>
      <c r="B65" s="126" t="s">
        <v>152</v>
      </c>
      <c r="C65" s="106">
        <f>311500</f>
        <v>311500</v>
      </c>
      <c r="D65" s="106">
        <f>460000</f>
        <v>460000</v>
      </c>
      <c r="E65" s="106">
        <f>0</f>
        <v>0</v>
      </c>
      <c r="F65" s="106">
        <f>0</f>
        <v>0</v>
      </c>
      <c r="G65" s="106">
        <f>0</f>
        <v>0</v>
      </c>
      <c r="H65" s="106">
        <f>0</f>
        <v>0</v>
      </c>
      <c r="I65" s="106">
        <f>0</f>
        <v>0</v>
      </c>
      <c r="J65" s="106">
        <f>0</f>
        <v>0</v>
      </c>
      <c r="K65" s="106">
        <f>0</f>
        <v>0</v>
      </c>
      <c r="L65" s="106">
        <f>0</f>
        <v>0</v>
      </c>
      <c r="M65" s="106">
        <f>0</f>
        <v>0</v>
      </c>
      <c r="N65" s="106">
        <f>0</f>
        <v>0</v>
      </c>
      <c r="O65" s="106">
        <f>0</f>
        <v>0</v>
      </c>
      <c r="P65" s="106">
        <f>0</f>
        <v>0</v>
      </c>
      <c r="Q65" s="106">
        <f>0</f>
        <v>0</v>
      </c>
      <c r="R65" s="106">
        <f>0</f>
        <v>0</v>
      </c>
      <c r="S65" s="106">
        <f>0</f>
        <v>0</v>
      </c>
      <c r="T65" s="106">
        <f>0</f>
        <v>0</v>
      </c>
      <c r="U65" s="106">
        <f>0</f>
        <v>0</v>
      </c>
      <c r="V65" s="106">
        <f>0</f>
        <v>0</v>
      </c>
      <c r="W65" s="106">
        <f>0</f>
        <v>0</v>
      </c>
      <c r="X65" s="106">
        <f>0</f>
        <v>0</v>
      </c>
      <c r="Y65" s="106">
        <f>0</f>
        <v>0</v>
      </c>
      <c r="Z65" s="106">
        <f>0</f>
        <v>0</v>
      </c>
      <c r="AA65" s="106">
        <f>0</f>
        <v>0</v>
      </c>
      <c r="AB65" s="106">
        <f>0</f>
        <v>0</v>
      </c>
      <c r="AC65" s="106">
        <f>0</f>
        <v>0</v>
      </c>
      <c r="AD65" s="106">
        <f>0</f>
        <v>0</v>
      </c>
      <c r="AE65" s="106">
        <f>0</f>
        <v>0</v>
      </c>
      <c r="AF65" s="106">
        <f>0</f>
        <v>0</v>
      </c>
      <c r="AG65" s="106">
        <f>0</f>
        <v>0</v>
      </c>
      <c r="AH65" s="106">
        <f>0</f>
        <v>0</v>
      </c>
      <c r="AI65" s="106">
        <f>0</f>
        <v>0</v>
      </c>
      <c r="AJ65" s="106">
        <f>0</f>
        <v>0</v>
      </c>
      <c r="AK65" s="106">
        <f>0</f>
        <v>0</v>
      </c>
      <c r="AL65" s="106">
        <f>0</f>
        <v>0</v>
      </c>
      <c r="AM65" s="106">
        <f>0</f>
        <v>0</v>
      </c>
      <c r="AN65" s="106">
        <f>0</f>
        <v>0</v>
      </c>
      <c r="AO65" s="106">
        <f>0</f>
        <v>0</v>
      </c>
    </row>
    <row r="66" spans="1:41">
      <c r="A66" s="96">
        <v>30</v>
      </c>
      <c r="B66" s="97" t="s">
        <v>153</v>
      </c>
      <c r="C66" s="98">
        <f>657094</f>
        <v>657094</v>
      </c>
      <c r="D66" s="98">
        <f>378687.36</f>
        <v>378687.36</v>
      </c>
      <c r="E66" s="98">
        <f>472887</f>
        <v>472887</v>
      </c>
      <c r="F66" s="98">
        <f>396751</f>
        <v>396751</v>
      </c>
      <c r="G66" s="98">
        <f>396751</f>
        <v>396751</v>
      </c>
      <c r="H66" s="98">
        <f>379678</f>
        <v>379678</v>
      </c>
      <c r="I66" s="98">
        <f>148818</f>
        <v>148818</v>
      </c>
      <c r="J66" s="98">
        <f>0</f>
        <v>0</v>
      </c>
      <c r="K66" s="98">
        <f>0</f>
        <v>0</v>
      </c>
      <c r="L66" s="98">
        <f>0</f>
        <v>0</v>
      </c>
      <c r="M66" s="98">
        <f>0</f>
        <v>0</v>
      </c>
      <c r="N66" s="98">
        <f>0</f>
        <v>0</v>
      </c>
      <c r="O66" s="98">
        <f>0</f>
        <v>0</v>
      </c>
      <c r="P66" s="98">
        <f>0</f>
        <v>0</v>
      </c>
      <c r="Q66" s="98">
        <f>0</f>
        <v>0</v>
      </c>
      <c r="R66" s="98">
        <f>0</f>
        <v>0</v>
      </c>
      <c r="S66" s="98">
        <f>0</f>
        <v>0</v>
      </c>
      <c r="T66" s="98">
        <f>0</f>
        <v>0</v>
      </c>
      <c r="U66" s="98">
        <f>0</f>
        <v>0</v>
      </c>
      <c r="V66" s="98">
        <f>0</f>
        <v>0</v>
      </c>
      <c r="W66" s="98">
        <f>0</f>
        <v>0</v>
      </c>
      <c r="X66" s="98">
        <f>0</f>
        <v>0</v>
      </c>
      <c r="Y66" s="98">
        <f>0</f>
        <v>0</v>
      </c>
      <c r="Z66" s="98">
        <f>0</f>
        <v>0</v>
      </c>
      <c r="AA66" s="98">
        <f>0</f>
        <v>0</v>
      </c>
      <c r="AB66" s="98">
        <f>0</f>
        <v>0</v>
      </c>
      <c r="AC66" s="98">
        <f>0</f>
        <v>0</v>
      </c>
      <c r="AD66" s="98">
        <f>0</f>
        <v>0</v>
      </c>
      <c r="AE66" s="98">
        <f>0</f>
        <v>0</v>
      </c>
      <c r="AF66" s="98">
        <f>0</f>
        <v>0</v>
      </c>
      <c r="AG66" s="98">
        <f>0</f>
        <v>0</v>
      </c>
      <c r="AH66" s="98">
        <f>0</f>
        <v>0</v>
      </c>
      <c r="AI66" s="98">
        <f>0</f>
        <v>0</v>
      </c>
      <c r="AJ66" s="98">
        <f>0</f>
        <v>0</v>
      </c>
      <c r="AK66" s="98">
        <f>0</f>
        <v>0</v>
      </c>
      <c r="AL66" s="98">
        <f>0</f>
        <v>0</v>
      </c>
      <c r="AM66" s="98">
        <f>0</f>
        <v>0</v>
      </c>
      <c r="AN66" s="98">
        <f>0</f>
        <v>0</v>
      </c>
      <c r="AO66" s="98">
        <f>0</f>
        <v>0</v>
      </c>
    </row>
    <row r="67" spans="1:41">
      <c r="A67" s="4"/>
      <c r="B67" s="5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41">
      <c r="A68" s="4"/>
      <c r="B68" s="43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41">
      <c r="B69" s="43" t="s">
        <v>162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4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41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41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</sheetData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5" orientation="landscape" blackAndWhite="1" horizontalDpi="4294967293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P60"/>
  <sheetViews>
    <sheetView topLeftCell="A40" workbookViewId="0">
      <selection activeCell="B60" sqref="B60"/>
    </sheetView>
  </sheetViews>
  <sheetFormatPr defaultRowHeight="14.25"/>
  <cols>
    <col min="2" max="2" width="3.875" bestFit="1" customWidth="1"/>
    <col min="3" max="3" width="51.5" customWidth="1"/>
    <col min="4" max="4" width="19.875" customWidth="1"/>
    <col min="5" max="12" width="16.75" bestFit="1" customWidth="1"/>
  </cols>
  <sheetData>
    <row r="2" spans="1:42" ht="15" thickBot="1"/>
    <row r="3" spans="1:42" ht="15" customHeight="1" thickBot="1">
      <c r="A3" s="5"/>
      <c r="B3" s="6" t="s">
        <v>0</v>
      </c>
      <c r="C3" s="47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3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6">
        <v>1</v>
      </c>
      <c r="C4" s="48" t="s">
        <v>93</v>
      </c>
      <c r="D4" s="24" t="str">
        <f t="shared" ref="D4:AF16" si="0">+"rokprognozy="&amp;D$3&amp;" i lp="&amp;$A4</f>
        <v>rokprognozy=2012 i lp=1</v>
      </c>
      <c r="E4" s="24" t="str">
        <f t="shared" si="0"/>
        <v>rokprognozy=2013 i lp=1</v>
      </c>
      <c r="F4" s="24" t="str">
        <f t="shared" si="0"/>
        <v>rokprognozy=2014 i lp=1</v>
      </c>
      <c r="G4" s="24" t="str">
        <f t="shared" si="0"/>
        <v>rokprognozy=2015 i lp=1</v>
      </c>
      <c r="H4" s="24" t="str">
        <f t="shared" si="0"/>
        <v>rokprognozy=2016 i lp=1</v>
      </c>
      <c r="I4" s="24" t="str">
        <f t="shared" si="0"/>
        <v>rokprognozy=2017 i lp=1</v>
      </c>
      <c r="J4" s="24" t="str">
        <f t="shared" si="0"/>
        <v>rokprognozy=2018 i lp=1</v>
      </c>
      <c r="K4" s="24" t="str">
        <f t="shared" si="0"/>
        <v>rokprognozy=2019 i lp=1</v>
      </c>
      <c r="L4" s="24" t="str">
        <f t="shared" si="0"/>
        <v>rokprognozy=2020 i lp=1</v>
      </c>
      <c r="M4" s="24" t="str">
        <f t="shared" si="0"/>
        <v>rokprognozy=2021 i lp=1</v>
      </c>
      <c r="N4" s="24" t="str">
        <f t="shared" si="0"/>
        <v>rokprognozy=2022 i lp=1</v>
      </c>
      <c r="O4" s="24" t="str">
        <f t="shared" si="0"/>
        <v>rokprognozy=2023 i lp=1</v>
      </c>
      <c r="P4" s="24" t="str">
        <f t="shared" si="0"/>
        <v>rokprognozy=2024 i lp=1</v>
      </c>
      <c r="Q4" s="24" t="str">
        <f t="shared" si="0"/>
        <v>rokprognozy=2025 i lp=1</v>
      </c>
      <c r="R4" s="24" t="str">
        <f t="shared" si="0"/>
        <v>rokprognozy=2026 i lp=1</v>
      </c>
      <c r="S4" s="24" t="str">
        <f t="shared" si="0"/>
        <v>rokprognozy=2027 i lp=1</v>
      </c>
      <c r="T4" s="24" t="str">
        <f t="shared" si="0"/>
        <v>rokprognozy=2028 i lp=1</v>
      </c>
      <c r="U4" s="24" t="str">
        <f t="shared" si="0"/>
        <v>rokprognozy=2029 i lp=1</v>
      </c>
      <c r="V4" s="24" t="str">
        <f t="shared" si="0"/>
        <v>rokprognozy=2030 i lp=1</v>
      </c>
      <c r="W4" s="24" t="str">
        <f t="shared" si="0"/>
        <v>rokprognozy=2031 i lp=1</v>
      </c>
      <c r="X4" s="24" t="str">
        <f t="shared" si="0"/>
        <v>rokprognozy=2032 i lp=1</v>
      </c>
      <c r="Y4" s="24" t="str">
        <f t="shared" si="0"/>
        <v>rokprognozy=2033 i lp=1</v>
      </c>
      <c r="Z4" s="24" t="str">
        <f t="shared" si="0"/>
        <v>rokprognozy=2034 i lp=1</v>
      </c>
      <c r="AA4" s="24" t="str">
        <f t="shared" si="0"/>
        <v>rokprognozy=2035 i lp=1</v>
      </c>
      <c r="AB4" s="24" t="str">
        <f t="shared" si="0"/>
        <v>rokprognozy=2036 i lp=1</v>
      </c>
      <c r="AC4" s="24" t="str">
        <f t="shared" si="0"/>
        <v>rokprognozy=2037 i lp=1</v>
      </c>
      <c r="AD4" s="24" t="str">
        <f t="shared" si="0"/>
        <v>rokprognozy=2038 i lp=1</v>
      </c>
      <c r="AE4" s="24" t="str">
        <f t="shared" si="0"/>
        <v>rokprognozy=2039 i lp=1</v>
      </c>
      <c r="AF4" s="24" t="str">
        <f t="shared" si="0"/>
        <v>rokprognozy=2040 i lp=1</v>
      </c>
      <c r="AG4" s="24" t="str">
        <f t="shared" ref="AG4:AP15" si="1">+"rokprognozy="&amp;AG$3&amp;" i lp="&amp;$A4</f>
        <v>rokprognozy=2041 i lp=1</v>
      </c>
      <c r="AH4" s="24" t="str">
        <f t="shared" si="1"/>
        <v>rokprognozy=2042 i lp=1</v>
      </c>
      <c r="AI4" s="24" t="str">
        <f t="shared" si="1"/>
        <v>rokprognozy=2043 i lp=1</v>
      </c>
      <c r="AJ4" s="24" t="str">
        <f t="shared" si="1"/>
        <v>rokprognozy=2044 i lp=1</v>
      </c>
      <c r="AK4" s="24" t="str">
        <f t="shared" si="1"/>
        <v>rokprognozy=2045 i lp=1</v>
      </c>
      <c r="AL4" s="24" t="str">
        <f t="shared" si="1"/>
        <v>rokprognozy=2046 i lp=1</v>
      </c>
      <c r="AM4" s="24" t="str">
        <f t="shared" si="1"/>
        <v>rokprognozy=2047 i lp=1</v>
      </c>
      <c r="AN4" s="24" t="str">
        <f t="shared" si="1"/>
        <v>rokprognozy=2048 i lp=1</v>
      </c>
      <c r="AO4" s="24" t="str">
        <f t="shared" si="1"/>
        <v>rokprognozy=2049 i lp=1</v>
      </c>
      <c r="AP4" s="24" t="str">
        <f t="shared" si="1"/>
        <v>rokprognozy=2050 i lp=1</v>
      </c>
    </row>
    <row r="5" spans="1:42" ht="14.25" customHeight="1">
      <c r="A5" s="7">
        <v>2</v>
      </c>
      <c r="B5" s="36" t="s">
        <v>94</v>
      </c>
      <c r="C5" s="2" t="s">
        <v>95</v>
      </c>
      <c r="D5" s="24" t="str">
        <f t="shared" ref="D5:L30" si="2">+"rokprognozy="&amp;D$3&amp;" i lp="&amp;$A5</f>
        <v>rokprognozy=2012 i lp=2</v>
      </c>
      <c r="E5" s="24" t="str">
        <f t="shared" si="2"/>
        <v>rokprognozy=2013 i lp=2</v>
      </c>
      <c r="F5" s="24" t="str">
        <f t="shared" si="2"/>
        <v>rokprognozy=2014 i lp=2</v>
      </c>
      <c r="G5" s="24" t="str">
        <f t="shared" si="2"/>
        <v>rokprognozy=2015 i lp=2</v>
      </c>
      <c r="H5" s="24" t="str">
        <f t="shared" si="2"/>
        <v>rokprognozy=2016 i lp=2</v>
      </c>
      <c r="I5" s="24" t="str">
        <f t="shared" si="2"/>
        <v>rokprognozy=2017 i lp=2</v>
      </c>
      <c r="J5" s="24" t="str">
        <f t="shared" si="2"/>
        <v>rokprognozy=2018 i lp=2</v>
      </c>
      <c r="K5" s="24" t="str">
        <f t="shared" si="2"/>
        <v>rokprognozy=2019 i lp=2</v>
      </c>
      <c r="L5" s="24" t="str">
        <f t="shared" si="2"/>
        <v>rokprognozy=2020 i lp=2</v>
      </c>
      <c r="M5" s="24" t="str">
        <f t="shared" si="0"/>
        <v>rokprognozy=2021 i lp=2</v>
      </c>
      <c r="N5" s="24" t="str">
        <f t="shared" si="0"/>
        <v>rokprognozy=2022 i lp=2</v>
      </c>
      <c r="O5" s="24" t="str">
        <f t="shared" si="0"/>
        <v>rokprognozy=2023 i lp=2</v>
      </c>
      <c r="P5" s="24" t="str">
        <f t="shared" si="0"/>
        <v>rokprognozy=2024 i lp=2</v>
      </c>
      <c r="Q5" s="24" t="str">
        <f t="shared" si="0"/>
        <v>rokprognozy=2025 i lp=2</v>
      </c>
      <c r="R5" s="24" t="str">
        <f t="shared" si="0"/>
        <v>rokprognozy=2026 i lp=2</v>
      </c>
      <c r="S5" s="24" t="str">
        <f t="shared" si="0"/>
        <v>rokprognozy=2027 i lp=2</v>
      </c>
      <c r="T5" s="24" t="str">
        <f t="shared" si="0"/>
        <v>rokprognozy=2028 i lp=2</v>
      </c>
      <c r="U5" s="24" t="str">
        <f t="shared" si="0"/>
        <v>rokprognozy=2029 i lp=2</v>
      </c>
      <c r="V5" s="24" t="str">
        <f t="shared" si="0"/>
        <v>rokprognozy=2030 i lp=2</v>
      </c>
      <c r="W5" s="24" t="str">
        <f t="shared" si="0"/>
        <v>rokprognozy=2031 i lp=2</v>
      </c>
      <c r="X5" s="24" t="str">
        <f t="shared" si="0"/>
        <v>rokprognozy=2032 i lp=2</v>
      </c>
      <c r="Y5" s="24" t="str">
        <f t="shared" si="0"/>
        <v>rokprognozy=2033 i lp=2</v>
      </c>
      <c r="Z5" s="24" t="str">
        <f t="shared" si="0"/>
        <v>rokprognozy=2034 i lp=2</v>
      </c>
      <c r="AA5" s="24" t="str">
        <f t="shared" si="0"/>
        <v>rokprognozy=2035 i lp=2</v>
      </c>
      <c r="AB5" s="24" t="str">
        <f t="shared" si="0"/>
        <v>rokprognozy=2036 i lp=2</v>
      </c>
      <c r="AC5" s="24" t="str">
        <f t="shared" si="0"/>
        <v>rokprognozy=2037 i lp=2</v>
      </c>
      <c r="AD5" s="24" t="str">
        <f t="shared" si="0"/>
        <v>rokprognozy=2038 i lp=2</v>
      </c>
      <c r="AE5" s="24" t="str">
        <f t="shared" si="0"/>
        <v>rokprognozy=2039 i lp=2</v>
      </c>
      <c r="AF5" s="24" t="str">
        <f t="shared" si="0"/>
        <v>rokprognozy=2040 i lp=2</v>
      </c>
      <c r="AG5" s="24" t="str">
        <f t="shared" si="1"/>
        <v>rokprognozy=2041 i lp=2</v>
      </c>
      <c r="AH5" s="24" t="str">
        <f t="shared" si="1"/>
        <v>rokprognozy=2042 i lp=2</v>
      </c>
      <c r="AI5" s="24" t="str">
        <f t="shared" si="1"/>
        <v>rokprognozy=2043 i lp=2</v>
      </c>
      <c r="AJ5" s="24" t="str">
        <f t="shared" si="1"/>
        <v>rokprognozy=2044 i lp=2</v>
      </c>
      <c r="AK5" s="24" t="str">
        <f t="shared" si="1"/>
        <v>rokprognozy=2045 i lp=2</v>
      </c>
      <c r="AL5" s="24" t="str">
        <f t="shared" si="1"/>
        <v>rokprognozy=2046 i lp=2</v>
      </c>
      <c r="AM5" s="24" t="str">
        <f t="shared" si="1"/>
        <v>rokprognozy=2047 i lp=2</v>
      </c>
      <c r="AN5" s="24" t="str">
        <f t="shared" si="1"/>
        <v>rokprognozy=2048 i lp=2</v>
      </c>
      <c r="AO5" s="24" t="str">
        <f t="shared" si="1"/>
        <v>rokprognozy=2049 i lp=2</v>
      </c>
      <c r="AP5" s="24" t="str">
        <f t="shared" si="1"/>
        <v>rokprognozy=2050 i lp=2</v>
      </c>
    </row>
    <row r="6" spans="1:42" ht="14.25" customHeight="1">
      <c r="A6" s="7">
        <v>3</v>
      </c>
      <c r="B6" s="36" t="s">
        <v>96</v>
      </c>
      <c r="C6" s="2" t="s">
        <v>97</v>
      </c>
      <c r="D6" s="24" t="str">
        <f t="shared" si="2"/>
        <v>rokprognozy=2012 i lp=3</v>
      </c>
      <c r="E6" s="24" t="str">
        <f t="shared" si="2"/>
        <v>rokprognozy=2013 i lp=3</v>
      </c>
      <c r="F6" s="24" t="str">
        <f t="shared" si="2"/>
        <v>rokprognozy=2014 i lp=3</v>
      </c>
      <c r="G6" s="24" t="str">
        <f t="shared" si="2"/>
        <v>rokprognozy=2015 i lp=3</v>
      </c>
      <c r="H6" s="24" t="str">
        <f t="shared" si="2"/>
        <v>rokprognozy=2016 i lp=3</v>
      </c>
      <c r="I6" s="24" t="str">
        <f t="shared" si="2"/>
        <v>rokprognozy=2017 i lp=3</v>
      </c>
      <c r="J6" s="24" t="str">
        <f t="shared" si="2"/>
        <v>rokprognozy=2018 i lp=3</v>
      </c>
      <c r="K6" s="24" t="str">
        <f t="shared" si="2"/>
        <v>rokprognozy=2019 i lp=3</v>
      </c>
      <c r="L6" s="24" t="str">
        <f t="shared" si="2"/>
        <v>rokprognozy=2020 i lp=3</v>
      </c>
      <c r="M6" s="24" t="str">
        <f t="shared" si="0"/>
        <v>rokprognozy=2021 i lp=3</v>
      </c>
      <c r="N6" s="24" t="str">
        <f t="shared" si="0"/>
        <v>rokprognozy=2022 i lp=3</v>
      </c>
      <c r="O6" s="24" t="str">
        <f t="shared" si="0"/>
        <v>rokprognozy=2023 i lp=3</v>
      </c>
      <c r="P6" s="24" t="str">
        <f t="shared" si="0"/>
        <v>rokprognozy=2024 i lp=3</v>
      </c>
      <c r="Q6" s="24" t="str">
        <f t="shared" si="0"/>
        <v>rokprognozy=2025 i lp=3</v>
      </c>
      <c r="R6" s="24" t="str">
        <f t="shared" si="0"/>
        <v>rokprognozy=2026 i lp=3</v>
      </c>
      <c r="S6" s="24" t="str">
        <f t="shared" si="0"/>
        <v>rokprognozy=2027 i lp=3</v>
      </c>
      <c r="T6" s="24" t="str">
        <f t="shared" si="0"/>
        <v>rokprognozy=2028 i lp=3</v>
      </c>
      <c r="U6" s="24" t="str">
        <f t="shared" si="0"/>
        <v>rokprognozy=2029 i lp=3</v>
      </c>
      <c r="V6" s="24" t="str">
        <f t="shared" si="0"/>
        <v>rokprognozy=2030 i lp=3</v>
      </c>
      <c r="W6" s="24" t="str">
        <f t="shared" si="0"/>
        <v>rokprognozy=2031 i lp=3</v>
      </c>
      <c r="X6" s="24" t="str">
        <f t="shared" si="0"/>
        <v>rokprognozy=2032 i lp=3</v>
      </c>
      <c r="Y6" s="24" t="str">
        <f t="shared" si="0"/>
        <v>rokprognozy=2033 i lp=3</v>
      </c>
      <c r="Z6" s="24" t="str">
        <f t="shared" si="0"/>
        <v>rokprognozy=2034 i lp=3</v>
      </c>
      <c r="AA6" s="24" t="str">
        <f t="shared" si="0"/>
        <v>rokprognozy=2035 i lp=3</v>
      </c>
      <c r="AB6" s="24" t="str">
        <f t="shared" si="0"/>
        <v>rokprognozy=2036 i lp=3</v>
      </c>
      <c r="AC6" s="24" t="str">
        <f t="shared" si="0"/>
        <v>rokprognozy=2037 i lp=3</v>
      </c>
      <c r="AD6" s="24" t="str">
        <f t="shared" si="0"/>
        <v>rokprognozy=2038 i lp=3</v>
      </c>
      <c r="AE6" s="24" t="str">
        <f t="shared" si="0"/>
        <v>rokprognozy=2039 i lp=3</v>
      </c>
      <c r="AF6" s="24" t="str">
        <f t="shared" si="0"/>
        <v>rokprognozy=2040 i lp=3</v>
      </c>
      <c r="AG6" s="24" t="str">
        <f t="shared" si="1"/>
        <v>rokprognozy=2041 i lp=3</v>
      </c>
      <c r="AH6" s="24" t="str">
        <f t="shared" si="1"/>
        <v>rokprognozy=2042 i lp=3</v>
      </c>
      <c r="AI6" s="24" t="str">
        <f t="shared" si="1"/>
        <v>rokprognozy=2043 i lp=3</v>
      </c>
      <c r="AJ6" s="24" t="str">
        <f t="shared" si="1"/>
        <v>rokprognozy=2044 i lp=3</v>
      </c>
      <c r="AK6" s="24" t="str">
        <f t="shared" si="1"/>
        <v>rokprognozy=2045 i lp=3</v>
      </c>
      <c r="AL6" s="24" t="str">
        <f t="shared" si="1"/>
        <v>rokprognozy=2046 i lp=3</v>
      </c>
      <c r="AM6" s="24" t="str">
        <f t="shared" si="1"/>
        <v>rokprognozy=2047 i lp=3</v>
      </c>
      <c r="AN6" s="24" t="str">
        <f t="shared" si="1"/>
        <v>rokprognozy=2048 i lp=3</v>
      </c>
      <c r="AO6" s="24" t="str">
        <f t="shared" si="1"/>
        <v>rokprognozy=2049 i lp=3</v>
      </c>
      <c r="AP6" s="24" t="str">
        <f t="shared" si="1"/>
        <v>rokprognozy=2050 i lp=3</v>
      </c>
    </row>
    <row r="7" spans="1:42">
      <c r="A7" s="7">
        <v>4</v>
      </c>
      <c r="B7" s="36" t="s">
        <v>98</v>
      </c>
      <c r="C7" s="3" t="s">
        <v>99</v>
      </c>
      <c r="D7" s="24" t="str">
        <f t="shared" si="2"/>
        <v>rokprognozy=2012 i lp=4</v>
      </c>
      <c r="E7" s="24" t="str">
        <f t="shared" si="2"/>
        <v>rokprognozy=2013 i lp=4</v>
      </c>
      <c r="F7" s="24" t="str">
        <f t="shared" si="2"/>
        <v>rokprognozy=2014 i lp=4</v>
      </c>
      <c r="G7" s="24" t="str">
        <f t="shared" si="2"/>
        <v>rokprognozy=2015 i lp=4</v>
      </c>
      <c r="H7" s="24" t="str">
        <f t="shared" si="2"/>
        <v>rokprognozy=2016 i lp=4</v>
      </c>
      <c r="I7" s="24" t="str">
        <f t="shared" si="2"/>
        <v>rokprognozy=2017 i lp=4</v>
      </c>
      <c r="J7" s="24" t="str">
        <f t="shared" si="2"/>
        <v>rokprognozy=2018 i lp=4</v>
      </c>
      <c r="K7" s="24" t="str">
        <f t="shared" si="2"/>
        <v>rokprognozy=2019 i lp=4</v>
      </c>
      <c r="L7" s="24" t="str">
        <f t="shared" si="2"/>
        <v>rokprognozy=2020 i lp=4</v>
      </c>
      <c r="M7" s="24" t="str">
        <f t="shared" si="0"/>
        <v>rokprognozy=2021 i lp=4</v>
      </c>
      <c r="N7" s="24" t="str">
        <f t="shared" si="0"/>
        <v>rokprognozy=2022 i lp=4</v>
      </c>
      <c r="O7" s="24" t="str">
        <f t="shared" si="0"/>
        <v>rokprognozy=2023 i lp=4</v>
      </c>
      <c r="P7" s="24" t="str">
        <f t="shared" si="0"/>
        <v>rokprognozy=2024 i lp=4</v>
      </c>
      <c r="Q7" s="24" t="str">
        <f t="shared" si="0"/>
        <v>rokprognozy=2025 i lp=4</v>
      </c>
      <c r="R7" s="24" t="str">
        <f t="shared" si="0"/>
        <v>rokprognozy=2026 i lp=4</v>
      </c>
      <c r="S7" s="24" t="str">
        <f t="shared" si="0"/>
        <v>rokprognozy=2027 i lp=4</v>
      </c>
      <c r="T7" s="24" t="str">
        <f t="shared" si="0"/>
        <v>rokprognozy=2028 i lp=4</v>
      </c>
      <c r="U7" s="24" t="str">
        <f t="shared" si="0"/>
        <v>rokprognozy=2029 i lp=4</v>
      </c>
      <c r="V7" s="24" t="str">
        <f t="shared" si="0"/>
        <v>rokprognozy=2030 i lp=4</v>
      </c>
      <c r="W7" s="24" t="str">
        <f t="shared" si="0"/>
        <v>rokprognozy=2031 i lp=4</v>
      </c>
      <c r="X7" s="24" t="str">
        <f t="shared" si="0"/>
        <v>rokprognozy=2032 i lp=4</v>
      </c>
      <c r="Y7" s="24" t="str">
        <f t="shared" si="0"/>
        <v>rokprognozy=2033 i lp=4</v>
      </c>
      <c r="Z7" s="24" t="str">
        <f t="shared" si="0"/>
        <v>rokprognozy=2034 i lp=4</v>
      </c>
      <c r="AA7" s="24" t="str">
        <f t="shared" si="0"/>
        <v>rokprognozy=2035 i lp=4</v>
      </c>
      <c r="AB7" s="24" t="str">
        <f t="shared" si="0"/>
        <v>rokprognozy=2036 i lp=4</v>
      </c>
      <c r="AC7" s="24" t="str">
        <f t="shared" si="0"/>
        <v>rokprognozy=2037 i lp=4</v>
      </c>
      <c r="AD7" s="24" t="str">
        <f t="shared" si="0"/>
        <v>rokprognozy=2038 i lp=4</v>
      </c>
      <c r="AE7" s="24" t="str">
        <f t="shared" si="0"/>
        <v>rokprognozy=2039 i lp=4</v>
      </c>
      <c r="AF7" s="24" t="str">
        <f t="shared" si="0"/>
        <v>rokprognozy=2040 i lp=4</v>
      </c>
      <c r="AG7" s="24" t="str">
        <f t="shared" si="1"/>
        <v>rokprognozy=2041 i lp=4</v>
      </c>
      <c r="AH7" s="24" t="str">
        <f t="shared" si="1"/>
        <v>rokprognozy=2042 i lp=4</v>
      </c>
      <c r="AI7" s="24" t="str">
        <f t="shared" si="1"/>
        <v>rokprognozy=2043 i lp=4</v>
      </c>
      <c r="AJ7" s="24" t="str">
        <f t="shared" si="1"/>
        <v>rokprognozy=2044 i lp=4</v>
      </c>
      <c r="AK7" s="24" t="str">
        <f t="shared" si="1"/>
        <v>rokprognozy=2045 i lp=4</v>
      </c>
      <c r="AL7" s="24" t="str">
        <f t="shared" si="1"/>
        <v>rokprognozy=2046 i lp=4</v>
      </c>
      <c r="AM7" s="24" t="str">
        <f t="shared" si="1"/>
        <v>rokprognozy=2047 i lp=4</v>
      </c>
      <c r="AN7" s="24" t="str">
        <f t="shared" si="1"/>
        <v>rokprognozy=2048 i lp=4</v>
      </c>
      <c r="AO7" s="24" t="str">
        <f t="shared" si="1"/>
        <v>rokprognozy=2049 i lp=4</v>
      </c>
      <c r="AP7" s="24" t="str">
        <f t="shared" si="1"/>
        <v>rokprognozy=2050 i lp=4</v>
      </c>
    </row>
    <row r="8" spans="1:42" ht="14.25" customHeight="1">
      <c r="A8" s="8">
        <v>5</v>
      </c>
      <c r="B8" s="36" t="s">
        <v>100</v>
      </c>
      <c r="C8" s="45" t="s">
        <v>101</v>
      </c>
      <c r="D8" s="24" t="str">
        <f t="shared" si="2"/>
        <v>rokprognozy=2012 i lp=5</v>
      </c>
      <c r="E8" s="24" t="str">
        <f t="shared" si="2"/>
        <v>rokprognozy=2013 i lp=5</v>
      </c>
      <c r="F8" s="24" t="str">
        <f t="shared" si="2"/>
        <v>rokprognozy=2014 i lp=5</v>
      </c>
      <c r="G8" s="24" t="str">
        <f t="shared" si="2"/>
        <v>rokprognozy=2015 i lp=5</v>
      </c>
      <c r="H8" s="24" t="str">
        <f t="shared" si="2"/>
        <v>rokprognozy=2016 i lp=5</v>
      </c>
      <c r="I8" s="24" t="str">
        <f t="shared" si="2"/>
        <v>rokprognozy=2017 i lp=5</v>
      </c>
      <c r="J8" s="24" t="str">
        <f t="shared" si="2"/>
        <v>rokprognozy=2018 i lp=5</v>
      </c>
      <c r="K8" s="24" t="str">
        <f t="shared" si="2"/>
        <v>rokprognozy=2019 i lp=5</v>
      </c>
      <c r="L8" s="24" t="str">
        <f t="shared" si="2"/>
        <v>rokprognozy=2020 i lp=5</v>
      </c>
      <c r="M8" s="24" t="str">
        <f t="shared" si="0"/>
        <v>rokprognozy=2021 i lp=5</v>
      </c>
      <c r="N8" s="24" t="str">
        <f t="shared" si="0"/>
        <v>rokprognozy=2022 i lp=5</v>
      </c>
      <c r="O8" s="24" t="str">
        <f t="shared" si="0"/>
        <v>rokprognozy=2023 i lp=5</v>
      </c>
      <c r="P8" s="24" t="str">
        <f t="shared" si="0"/>
        <v>rokprognozy=2024 i lp=5</v>
      </c>
      <c r="Q8" s="24" t="str">
        <f t="shared" si="0"/>
        <v>rokprognozy=2025 i lp=5</v>
      </c>
      <c r="R8" s="24" t="str">
        <f t="shared" si="0"/>
        <v>rokprognozy=2026 i lp=5</v>
      </c>
      <c r="S8" s="24" t="str">
        <f t="shared" si="0"/>
        <v>rokprognozy=2027 i lp=5</v>
      </c>
      <c r="T8" s="24" t="str">
        <f t="shared" si="0"/>
        <v>rokprognozy=2028 i lp=5</v>
      </c>
      <c r="U8" s="24" t="str">
        <f t="shared" si="0"/>
        <v>rokprognozy=2029 i lp=5</v>
      </c>
      <c r="V8" s="24" t="str">
        <f t="shared" si="0"/>
        <v>rokprognozy=2030 i lp=5</v>
      </c>
      <c r="W8" s="24" t="str">
        <f t="shared" si="0"/>
        <v>rokprognozy=2031 i lp=5</v>
      </c>
      <c r="X8" s="24" t="str">
        <f t="shared" si="0"/>
        <v>rokprognozy=2032 i lp=5</v>
      </c>
      <c r="Y8" s="24" t="str">
        <f t="shared" si="0"/>
        <v>rokprognozy=2033 i lp=5</v>
      </c>
      <c r="Z8" s="24" t="str">
        <f t="shared" si="0"/>
        <v>rokprognozy=2034 i lp=5</v>
      </c>
      <c r="AA8" s="24" t="str">
        <f t="shared" si="0"/>
        <v>rokprognozy=2035 i lp=5</v>
      </c>
      <c r="AB8" s="24" t="str">
        <f t="shared" si="0"/>
        <v>rokprognozy=2036 i lp=5</v>
      </c>
      <c r="AC8" s="24" t="str">
        <f t="shared" si="0"/>
        <v>rokprognozy=2037 i lp=5</v>
      </c>
      <c r="AD8" s="24" t="str">
        <f t="shared" si="0"/>
        <v>rokprognozy=2038 i lp=5</v>
      </c>
      <c r="AE8" s="24" t="str">
        <f t="shared" si="0"/>
        <v>rokprognozy=2039 i lp=5</v>
      </c>
      <c r="AF8" s="24" t="str">
        <f t="shared" si="0"/>
        <v>rokprognozy=2040 i lp=5</v>
      </c>
      <c r="AG8" s="24" t="str">
        <f t="shared" si="1"/>
        <v>rokprognozy=2041 i lp=5</v>
      </c>
      <c r="AH8" s="24" t="str">
        <f t="shared" si="1"/>
        <v>rokprognozy=2042 i lp=5</v>
      </c>
      <c r="AI8" s="24" t="str">
        <f t="shared" si="1"/>
        <v>rokprognozy=2043 i lp=5</v>
      </c>
      <c r="AJ8" s="24" t="str">
        <f t="shared" si="1"/>
        <v>rokprognozy=2044 i lp=5</v>
      </c>
      <c r="AK8" s="24" t="str">
        <f t="shared" si="1"/>
        <v>rokprognozy=2045 i lp=5</v>
      </c>
      <c r="AL8" s="24" t="str">
        <f t="shared" si="1"/>
        <v>rokprognozy=2046 i lp=5</v>
      </c>
      <c r="AM8" s="24" t="str">
        <f t="shared" si="1"/>
        <v>rokprognozy=2047 i lp=5</v>
      </c>
      <c r="AN8" s="24" t="str">
        <f t="shared" si="1"/>
        <v>rokprognozy=2048 i lp=5</v>
      </c>
      <c r="AO8" s="24" t="str">
        <f t="shared" si="1"/>
        <v>rokprognozy=2049 i lp=5</v>
      </c>
      <c r="AP8" s="24" t="str">
        <f t="shared" si="1"/>
        <v>rokprognozy=2050 i lp=5</v>
      </c>
    </row>
    <row r="9" spans="1:42" ht="14.25" customHeight="1">
      <c r="A9" s="7">
        <v>6</v>
      </c>
      <c r="B9" s="36" t="s">
        <v>102</v>
      </c>
      <c r="C9" s="2" t="s">
        <v>103</v>
      </c>
      <c r="D9" s="24" t="str">
        <f t="shared" si="2"/>
        <v>rokprognozy=2012 i lp=6</v>
      </c>
      <c r="E9" s="24" t="str">
        <f t="shared" si="2"/>
        <v>rokprognozy=2013 i lp=6</v>
      </c>
      <c r="F9" s="24" t="str">
        <f t="shared" si="2"/>
        <v>rokprognozy=2014 i lp=6</v>
      </c>
      <c r="G9" s="24" t="str">
        <f t="shared" si="2"/>
        <v>rokprognozy=2015 i lp=6</v>
      </c>
      <c r="H9" s="24" t="str">
        <f t="shared" si="2"/>
        <v>rokprognozy=2016 i lp=6</v>
      </c>
      <c r="I9" s="24" t="str">
        <f t="shared" si="2"/>
        <v>rokprognozy=2017 i lp=6</v>
      </c>
      <c r="J9" s="24" t="str">
        <f t="shared" si="2"/>
        <v>rokprognozy=2018 i lp=6</v>
      </c>
      <c r="K9" s="24" t="str">
        <f t="shared" si="2"/>
        <v>rokprognozy=2019 i lp=6</v>
      </c>
      <c r="L9" s="24" t="str">
        <f t="shared" si="2"/>
        <v>rokprognozy=2020 i lp=6</v>
      </c>
      <c r="M9" s="24" t="str">
        <f t="shared" si="0"/>
        <v>rokprognozy=2021 i lp=6</v>
      </c>
      <c r="N9" s="24" t="str">
        <f t="shared" si="0"/>
        <v>rokprognozy=2022 i lp=6</v>
      </c>
      <c r="O9" s="24" t="str">
        <f t="shared" si="0"/>
        <v>rokprognozy=2023 i lp=6</v>
      </c>
      <c r="P9" s="24" t="str">
        <f t="shared" si="0"/>
        <v>rokprognozy=2024 i lp=6</v>
      </c>
      <c r="Q9" s="24" t="str">
        <f t="shared" si="0"/>
        <v>rokprognozy=2025 i lp=6</v>
      </c>
      <c r="R9" s="24" t="str">
        <f t="shared" si="0"/>
        <v>rokprognozy=2026 i lp=6</v>
      </c>
      <c r="S9" s="24" t="str">
        <f t="shared" si="0"/>
        <v>rokprognozy=2027 i lp=6</v>
      </c>
      <c r="T9" s="24" t="str">
        <f t="shared" si="0"/>
        <v>rokprognozy=2028 i lp=6</v>
      </c>
      <c r="U9" s="24" t="str">
        <f t="shared" si="0"/>
        <v>rokprognozy=2029 i lp=6</v>
      </c>
      <c r="V9" s="24" t="str">
        <f t="shared" si="0"/>
        <v>rokprognozy=2030 i lp=6</v>
      </c>
      <c r="W9" s="24" t="str">
        <f t="shared" si="0"/>
        <v>rokprognozy=2031 i lp=6</v>
      </c>
      <c r="X9" s="24" t="str">
        <f t="shared" si="0"/>
        <v>rokprognozy=2032 i lp=6</v>
      </c>
      <c r="Y9" s="24" t="str">
        <f t="shared" si="0"/>
        <v>rokprognozy=2033 i lp=6</v>
      </c>
      <c r="Z9" s="24" t="str">
        <f t="shared" si="0"/>
        <v>rokprognozy=2034 i lp=6</v>
      </c>
      <c r="AA9" s="24" t="str">
        <f t="shared" si="0"/>
        <v>rokprognozy=2035 i lp=6</v>
      </c>
      <c r="AB9" s="24" t="str">
        <f t="shared" si="0"/>
        <v>rokprognozy=2036 i lp=6</v>
      </c>
      <c r="AC9" s="24" t="str">
        <f t="shared" si="0"/>
        <v>rokprognozy=2037 i lp=6</v>
      </c>
      <c r="AD9" s="24" t="str">
        <f t="shared" si="0"/>
        <v>rokprognozy=2038 i lp=6</v>
      </c>
      <c r="AE9" s="24" t="str">
        <f t="shared" si="0"/>
        <v>rokprognozy=2039 i lp=6</v>
      </c>
      <c r="AF9" s="24" t="str">
        <f t="shared" si="0"/>
        <v>rokprognozy=2040 i lp=6</v>
      </c>
      <c r="AG9" s="24" t="str">
        <f t="shared" si="1"/>
        <v>rokprognozy=2041 i lp=6</v>
      </c>
      <c r="AH9" s="24" t="str">
        <f t="shared" si="1"/>
        <v>rokprognozy=2042 i lp=6</v>
      </c>
      <c r="AI9" s="24" t="str">
        <f t="shared" si="1"/>
        <v>rokprognozy=2043 i lp=6</v>
      </c>
      <c r="AJ9" s="24" t="str">
        <f t="shared" si="1"/>
        <v>rokprognozy=2044 i lp=6</v>
      </c>
      <c r="AK9" s="24" t="str">
        <f t="shared" si="1"/>
        <v>rokprognozy=2045 i lp=6</v>
      </c>
      <c r="AL9" s="24" t="str">
        <f t="shared" si="1"/>
        <v>rokprognozy=2046 i lp=6</v>
      </c>
      <c r="AM9" s="24" t="str">
        <f t="shared" si="1"/>
        <v>rokprognozy=2047 i lp=6</v>
      </c>
      <c r="AN9" s="24" t="str">
        <f t="shared" si="1"/>
        <v>rokprognozy=2048 i lp=6</v>
      </c>
      <c r="AO9" s="24" t="str">
        <f t="shared" si="1"/>
        <v>rokprognozy=2049 i lp=6</v>
      </c>
      <c r="AP9" s="24" t="str">
        <f t="shared" si="1"/>
        <v>rokprognozy=2050 i lp=6</v>
      </c>
    </row>
    <row r="10" spans="1:42" ht="14.25" customHeight="1">
      <c r="A10" s="7">
        <v>7</v>
      </c>
      <c r="B10" s="36">
        <v>2</v>
      </c>
      <c r="C10" s="2" t="s">
        <v>3</v>
      </c>
      <c r="D10" s="24" t="str">
        <f t="shared" si="2"/>
        <v>rokprognozy=2012 i lp=7</v>
      </c>
      <c r="E10" s="24" t="str">
        <f t="shared" si="2"/>
        <v>rokprognozy=2013 i lp=7</v>
      </c>
      <c r="F10" s="24" t="str">
        <f t="shared" si="2"/>
        <v>rokprognozy=2014 i lp=7</v>
      </c>
      <c r="G10" s="24" t="str">
        <f t="shared" si="2"/>
        <v>rokprognozy=2015 i lp=7</v>
      </c>
      <c r="H10" s="24" t="str">
        <f t="shared" si="2"/>
        <v>rokprognozy=2016 i lp=7</v>
      </c>
      <c r="I10" s="24" t="str">
        <f t="shared" si="2"/>
        <v>rokprognozy=2017 i lp=7</v>
      </c>
      <c r="J10" s="24" t="str">
        <f t="shared" si="2"/>
        <v>rokprognozy=2018 i lp=7</v>
      </c>
      <c r="K10" s="24" t="str">
        <f t="shared" si="2"/>
        <v>rokprognozy=2019 i lp=7</v>
      </c>
      <c r="L10" s="24" t="str">
        <f t="shared" si="2"/>
        <v>rokprognozy=2020 i lp=7</v>
      </c>
      <c r="M10" s="24" t="str">
        <f t="shared" si="0"/>
        <v>rokprognozy=2021 i lp=7</v>
      </c>
      <c r="N10" s="24" t="str">
        <f t="shared" si="0"/>
        <v>rokprognozy=2022 i lp=7</v>
      </c>
      <c r="O10" s="24" t="str">
        <f t="shared" si="0"/>
        <v>rokprognozy=2023 i lp=7</v>
      </c>
      <c r="P10" s="24" t="str">
        <f t="shared" si="0"/>
        <v>rokprognozy=2024 i lp=7</v>
      </c>
      <c r="Q10" s="24" t="str">
        <f t="shared" si="0"/>
        <v>rokprognozy=2025 i lp=7</v>
      </c>
      <c r="R10" s="24" t="str">
        <f t="shared" si="0"/>
        <v>rokprognozy=2026 i lp=7</v>
      </c>
      <c r="S10" s="24" t="str">
        <f t="shared" si="0"/>
        <v>rokprognozy=2027 i lp=7</v>
      </c>
      <c r="T10" s="24" t="str">
        <f t="shared" si="0"/>
        <v>rokprognozy=2028 i lp=7</v>
      </c>
      <c r="U10" s="24" t="str">
        <f t="shared" si="0"/>
        <v>rokprognozy=2029 i lp=7</v>
      </c>
      <c r="V10" s="24" t="str">
        <f t="shared" si="0"/>
        <v>rokprognozy=2030 i lp=7</v>
      </c>
      <c r="W10" s="24" t="str">
        <f t="shared" si="0"/>
        <v>rokprognozy=2031 i lp=7</v>
      </c>
      <c r="X10" s="24" t="str">
        <f t="shared" si="0"/>
        <v>rokprognozy=2032 i lp=7</v>
      </c>
      <c r="Y10" s="24" t="str">
        <f t="shared" si="0"/>
        <v>rokprognozy=2033 i lp=7</v>
      </c>
      <c r="Z10" s="24" t="str">
        <f t="shared" si="0"/>
        <v>rokprognozy=2034 i lp=7</v>
      </c>
      <c r="AA10" s="24" t="str">
        <f t="shared" si="0"/>
        <v>rokprognozy=2035 i lp=7</v>
      </c>
      <c r="AB10" s="24" t="str">
        <f t="shared" si="0"/>
        <v>rokprognozy=2036 i lp=7</v>
      </c>
      <c r="AC10" s="24" t="str">
        <f t="shared" si="0"/>
        <v>rokprognozy=2037 i lp=7</v>
      </c>
      <c r="AD10" s="24" t="str">
        <f t="shared" si="0"/>
        <v>rokprognozy=2038 i lp=7</v>
      </c>
      <c r="AE10" s="24" t="str">
        <f t="shared" si="0"/>
        <v>rokprognozy=2039 i lp=7</v>
      </c>
      <c r="AF10" s="24" t="str">
        <f t="shared" si="0"/>
        <v>rokprognozy=2040 i lp=7</v>
      </c>
      <c r="AG10" s="24" t="str">
        <f t="shared" si="1"/>
        <v>rokprognozy=2041 i lp=7</v>
      </c>
      <c r="AH10" s="24" t="str">
        <f t="shared" si="1"/>
        <v>rokprognozy=2042 i lp=7</v>
      </c>
      <c r="AI10" s="24" t="str">
        <f t="shared" si="1"/>
        <v>rokprognozy=2043 i lp=7</v>
      </c>
      <c r="AJ10" s="24" t="str">
        <f t="shared" si="1"/>
        <v>rokprognozy=2044 i lp=7</v>
      </c>
      <c r="AK10" s="24" t="str">
        <f t="shared" si="1"/>
        <v>rokprognozy=2045 i lp=7</v>
      </c>
      <c r="AL10" s="24" t="str">
        <f t="shared" si="1"/>
        <v>rokprognozy=2046 i lp=7</v>
      </c>
      <c r="AM10" s="24" t="str">
        <f t="shared" si="1"/>
        <v>rokprognozy=2047 i lp=7</v>
      </c>
      <c r="AN10" s="24" t="str">
        <f t="shared" si="1"/>
        <v>rokprognozy=2048 i lp=7</v>
      </c>
      <c r="AO10" s="24" t="str">
        <f t="shared" si="1"/>
        <v>rokprognozy=2049 i lp=7</v>
      </c>
      <c r="AP10" s="24" t="str">
        <f t="shared" si="1"/>
        <v>rokprognozy=2050 i lp=7</v>
      </c>
    </row>
    <row r="11" spans="1:42" ht="14.25" customHeight="1">
      <c r="A11" s="7">
        <v>8</v>
      </c>
      <c r="B11" s="36" t="s">
        <v>104</v>
      </c>
      <c r="C11" s="2" t="s">
        <v>105</v>
      </c>
      <c r="D11" s="24" t="str">
        <f t="shared" si="2"/>
        <v>rokprognozy=2012 i lp=8</v>
      </c>
      <c r="E11" s="24" t="str">
        <f t="shared" si="2"/>
        <v>rokprognozy=2013 i lp=8</v>
      </c>
      <c r="F11" s="24" t="str">
        <f t="shared" si="2"/>
        <v>rokprognozy=2014 i lp=8</v>
      </c>
      <c r="G11" s="24" t="str">
        <f t="shared" si="2"/>
        <v>rokprognozy=2015 i lp=8</v>
      </c>
      <c r="H11" s="24" t="str">
        <f t="shared" si="2"/>
        <v>rokprognozy=2016 i lp=8</v>
      </c>
      <c r="I11" s="24" t="str">
        <f t="shared" si="2"/>
        <v>rokprognozy=2017 i lp=8</v>
      </c>
      <c r="J11" s="24" t="str">
        <f t="shared" si="2"/>
        <v>rokprognozy=2018 i lp=8</v>
      </c>
      <c r="K11" s="24" t="str">
        <f t="shared" si="2"/>
        <v>rokprognozy=2019 i lp=8</v>
      </c>
      <c r="L11" s="24" t="str">
        <f t="shared" si="2"/>
        <v>rokprognozy=2020 i lp=8</v>
      </c>
      <c r="M11" s="24" t="str">
        <f t="shared" si="0"/>
        <v>rokprognozy=2021 i lp=8</v>
      </c>
      <c r="N11" s="24" t="str">
        <f t="shared" si="0"/>
        <v>rokprognozy=2022 i lp=8</v>
      </c>
      <c r="O11" s="24" t="str">
        <f t="shared" si="0"/>
        <v>rokprognozy=2023 i lp=8</v>
      </c>
      <c r="P11" s="24" t="str">
        <f t="shared" si="0"/>
        <v>rokprognozy=2024 i lp=8</v>
      </c>
      <c r="Q11" s="24" t="str">
        <f t="shared" si="0"/>
        <v>rokprognozy=2025 i lp=8</v>
      </c>
      <c r="R11" s="24" t="str">
        <f t="shared" si="0"/>
        <v>rokprognozy=2026 i lp=8</v>
      </c>
      <c r="S11" s="24" t="str">
        <f t="shared" si="0"/>
        <v>rokprognozy=2027 i lp=8</v>
      </c>
      <c r="T11" s="24" t="str">
        <f t="shared" si="0"/>
        <v>rokprognozy=2028 i lp=8</v>
      </c>
      <c r="U11" s="24" t="str">
        <f t="shared" si="0"/>
        <v>rokprognozy=2029 i lp=8</v>
      </c>
      <c r="V11" s="24" t="str">
        <f t="shared" si="0"/>
        <v>rokprognozy=2030 i lp=8</v>
      </c>
      <c r="W11" s="24" t="str">
        <f t="shared" si="0"/>
        <v>rokprognozy=2031 i lp=8</v>
      </c>
      <c r="X11" s="24" t="str">
        <f t="shared" si="0"/>
        <v>rokprognozy=2032 i lp=8</v>
      </c>
      <c r="Y11" s="24" t="str">
        <f t="shared" si="0"/>
        <v>rokprognozy=2033 i lp=8</v>
      </c>
      <c r="Z11" s="24" t="str">
        <f t="shared" si="0"/>
        <v>rokprognozy=2034 i lp=8</v>
      </c>
      <c r="AA11" s="24" t="str">
        <f t="shared" si="0"/>
        <v>rokprognozy=2035 i lp=8</v>
      </c>
      <c r="AB11" s="24" t="str">
        <f t="shared" si="0"/>
        <v>rokprognozy=2036 i lp=8</v>
      </c>
      <c r="AC11" s="24" t="str">
        <f t="shared" si="0"/>
        <v>rokprognozy=2037 i lp=8</v>
      </c>
      <c r="AD11" s="24" t="str">
        <f t="shared" si="0"/>
        <v>rokprognozy=2038 i lp=8</v>
      </c>
      <c r="AE11" s="24" t="str">
        <f t="shared" si="0"/>
        <v>rokprognozy=2039 i lp=8</v>
      </c>
      <c r="AF11" s="24" t="str">
        <f t="shared" si="0"/>
        <v>rokprognozy=2040 i lp=8</v>
      </c>
      <c r="AG11" s="24" t="str">
        <f t="shared" si="1"/>
        <v>rokprognozy=2041 i lp=8</v>
      </c>
      <c r="AH11" s="24" t="str">
        <f t="shared" si="1"/>
        <v>rokprognozy=2042 i lp=8</v>
      </c>
      <c r="AI11" s="24" t="str">
        <f t="shared" si="1"/>
        <v>rokprognozy=2043 i lp=8</v>
      </c>
      <c r="AJ11" s="24" t="str">
        <f t="shared" si="1"/>
        <v>rokprognozy=2044 i lp=8</v>
      </c>
      <c r="AK11" s="24" t="str">
        <f t="shared" si="1"/>
        <v>rokprognozy=2045 i lp=8</v>
      </c>
      <c r="AL11" s="24" t="str">
        <f t="shared" si="1"/>
        <v>rokprognozy=2046 i lp=8</v>
      </c>
      <c r="AM11" s="24" t="str">
        <f t="shared" si="1"/>
        <v>rokprognozy=2047 i lp=8</v>
      </c>
      <c r="AN11" s="24" t="str">
        <f t="shared" si="1"/>
        <v>rokprognozy=2048 i lp=8</v>
      </c>
      <c r="AO11" s="24" t="str">
        <f t="shared" si="1"/>
        <v>rokprognozy=2049 i lp=8</v>
      </c>
      <c r="AP11" s="24" t="str">
        <f t="shared" si="1"/>
        <v>rokprognozy=2050 i lp=8</v>
      </c>
    </row>
    <row r="12" spans="1:42">
      <c r="A12" s="7">
        <v>9</v>
      </c>
      <c r="B12" s="36" t="s">
        <v>106</v>
      </c>
      <c r="C12" s="2" t="s">
        <v>107</v>
      </c>
      <c r="D12" s="24" t="str">
        <f t="shared" si="2"/>
        <v>rokprognozy=2012 i lp=9</v>
      </c>
      <c r="E12" s="24" t="str">
        <f t="shared" si="2"/>
        <v>rokprognozy=2013 i lp=9</v>
      </c>
      <c r="F12" s="24" t="str">
        <f t="shared" si="2"/>
        <v>rokprognozy=2014 i lp=9</v>
      </c>
      <c r="G12" s="24" t="str">
        <f t="shared" si="2"/>
        <v>rokprognozy=2015 i lp=9</v>
      </c>
      <c r="H12" s="24" t="str">
        <f t="shared" si="2"/>
        <v>rokprognozy=2016 i lp=9</v>
      </c>
      <c r="I12" s="24" t="str">
        <f t="shared" si="2"/>
        <v>rokprognozy=2017 i lp=9</v>
      </c>
      <c r="J12" s="24" t="str">
        <f t="shared" si="2"/>
        <v>rokprognozy=2018 i lp=9</v>
      </c>
      <c r="K12" s="24" t="str">
        <f t="shared" si="2"/>
        <v>rokprognozy=2019 i lp=9</v>
      </c>
      <c r="L12" s="24" t="str">
        <f t="shared" si="2"/>
        <v>rokprognozy=2020 i lp=9</v>
      </c>
      <c r="M12" s="24" t="str">
        <f t="shared" si="0"/>
        <v>rokprognozy=2021 i lp=9</v>
      </c>
      <c r="N12" s="24" t="str">
        <f t="shared" si="0"/>
        <v>rokprognozy=2022 i lp=9</v>
      </c>
      <c r="O12" s="24" t="str">
        <f t="shared" si="0"/>
        <v>rokprognozy=2023 i lp=9</v>
      </c>
      <c r="P12" s="24" t="str">
        <f t="shared" si="0"/>
        <v>rokprognozy=2024 i lp=9</v>
      </c>
      <c r="Q12" s="24" t="str">
        <f t="shared" si="0"/>
        <v>rokprognozy=2025 i lp=9</v>
      </c>
      <c r="R12" s="24" t="str">
        <f t="shared" si="0"/>
        <v>rokprognozy=2026 i lp=9</v>
      </c>
      <c r="S12" s="24" t="str">
        <f t="shared" si="0"/>
        <v>rokprognozy=2027 i lp=9</v>
      </c>
      <c r="T12" s="24" t="str">
        <f t="shared" si="0"/>
        <v>rokprognozy=2028 i lp=9</v>
      </c>
      <c r="U12" s="24" t="str">
        <f t="shared" si="0"/>
        <v>rokprognozy=2029 i lp=9</v>
      </c>
      <c r="V12" s="24" t="str">
        <f t="shared" si="0"/>
        <v>rokprognozy=2030 i lp=9</v>
      </c>
      <c r="W12" s="24" t="str">
        <f t="shared" si="0"/>
        <v>rokprognozy=2031 i lp=9</v>
      </c>
      <c r="X12" s="24" t="str">
        <f t="shared" si="0"/>
        <v>rokprognozy=2032 i lp=9</v>
      </c>
      <c r="Y12" s="24" t="str">
        <f t="shared" si="0"/>
        <v>rokprognozy=2033 i lp=9</v>
      </c>
      <c r="Z12" s="24" t="str">
        <f t="shared" si="0"/>
        <v>rokprognozy=2034 i lp=9</v>
      </c>
      <c r="AA12" s="24" t="str">
        <f t="shared" si="0"/>
        <v>rokprognozy=2035 i lp=9</v>
      </c>
      <c r="AB12" s="24" t="str">
        <f t="shared" si="0"/>
        <v>rokprognozy=2036 i lp=9</v>
      </c>
      <c r="AC12" s="24" t="str">
        <f t="shared" si="0"/>
        <v>rokprognozy=2037 i lp=9</v>
      </c>
      <c r="AD12" s="24" t="str">
        <f t="shared" si="0"/>
        <v>rokprognozy=2038 i lp=9</v>
      </c>
      <c r="AE12" s="24" t="str">
        <f t="shared" si="0"/>
        <v>rokprognozy=2039 i lp=9</v>
      </c>
      <c r="AF12" s="24" t="str">
        <f t="shared" si="0"/>
        <v>rokprognozy=2040 i lp=9</v>
      </c>
      <c r="AG12" s="24" t="str">
        <f t="shared" si="1"/>
        <v>rokprognozy=2041 i lp=9</v>
      </c>
      <c r="AH12" s="24" t="str">
        <f t="shared" si="1"/>
        <v>rokprognozy=2042 i lp=9</v>
      </c>
      <c r="AI12" s="24" t="str">
        <f t="shared" si="1"/>
        <v>rokprognozy=2043 i lp=9</v>
      </c>
      <c r="AJ12" s="24" t="str">
        <f t="shared" si="1"/>
        <v>rokprognozy=2044 i lp=9</v>
      </c>
      <c r="AK12" s="24" t="str">
        <f t="shared" si="1"/>
        <v>rokprognozy=2045 i lp=9</v>
      </c>
      <c r="AL12" s="24" t="str">
        <f t="shared" si="1"/>
        <v>rokprognozy=2046 i lp=9</v>
      </c>
      <c r="AM12" s="24" t="str">
        <f t="shared" si="1"/>
        <v>rokprognozy=2047 i lp=9</v>
      </c>
      <c r="AN12" s="24" t="str">
        <f t="shared" si="1"/>
        <v>rokprognozy=2048 i lp=9</v>
      </c>
      <c r="AO12" s="24" t="str">
        <f t="shared" si="1"/>
        <v>rokprognozy=2049 i lp=9</v>
      </c>
      <c r="AP12" s="24" t="str">
        <f t="shared" si="1"/>
        <v>rokprognozy=2050 i lp=9</v>
      </c>
    </row>
    <row r="13" spans="1:42" ht="14.25" customHeight="1">
      <c r="A13" s="7">
        <v>10</v>
      </c>
      <c r="B13" s="36" t="s">
        <v>108</v>
      </c>
      <c r="C13" s="2" t="s">
        <v>109</v>
      </c>
      <c r="D13" s="24" t="str">
        <f t="shared" si="2"/>
        <v>rokprognozy=2012 i lp=10</v>
      </c>
      <c r="E13" s="24" t="str">
        <f t="shared" si="2"/>
        <v>rokprognozy=2013 i lp=10</v>
      </c>
      <c r="F13" s="24" t="str">
        <f t="shared" si="2"/>
        <v>rokprognozy=2014 i lp=10</v>
      </c>
      <c r="G13" s="24" t="str">
        <f t="shared" si="2"/>
        <v>rokprognozy=2015 i lp=10</v>
      </c>
      <c r="H13" s="24" t="str">
        <f t="shared" si="2"/>
        <v>rokprognozy=2016 i lp=10</v>
      </c>
      <c r="I13" s="24" t="str">
        <f t="shared" si="2"/>
        <v>rokprognozy=2017 i lp=10</v>
      </c>
      <c r="J13" s="24" t="str">
        <f t="shared" si="2"/>
        <v>rokprognozy=2018 i lp=10</v>
      </c>
      <c r="K13" s="24" t="str">
        <f t="shared" si="2"/>
        <v>rokprognozy=2019 i lp=10</v>
      </c>
      <c r="L13" s="24" t="str">
        <f t="shared" si="2"/>
        <v>rokprognozy=2020 i lp=10</v>
      </c>
      <c r="M13" s="24" t="str">
        <f t="shared" si="0"/>
        <v>rokprognozy=2021 i lp=10</v>
      </c>
      <c r="N13" s="24" t="str">
        <f t="shared" si="0"/>
        <v>rokprognozy=2022 i lp=10</v>
      </c>
      <c r="O13" s="24" t="str">
        <f t="shared" si="0"/>
        <v>rokprognozy=2023 i lp=10</v>
      </c>
      <c r="P13" s="24" t="str">
        <f t="shared" si="0"/>
        <v>rokprognozy=2024 i lp=10</v>
      </c>
      <c r="Q13" s="24" t="str">
        <f t="shared" si="0"/>
        <v>rokprognozy=2025 i lp=10</v>
      </c>
      <c r="R13" s="24" t="str">
        <f t="shared" si="0"/>
        <v>rokprognozy=2026 i lp=10</v>
      </c>
      <c r="S13" s="24" t="str">
        <f t="shared" si="0"/>
        <v>rokprognozy=2027 i lp=10</v>
      </c>
      <c r="T13" s="24" t="str">
        <f t="shared" si="0"/>
        <v>rokprognozy=2028 i lp=10</v>
      </c>
      <c r="U13" s="24" t="str">
        <f t="shared" si="0"/>
        <v>rokprognozy=2029 i lp=10</v>
      </c>
      <c r="V13" s="24" t="str">
        <f t="shared" si="0"/>
        <v>rokprognozy=2030 i lp=10</v>
      </c>
      <c r="W13" s="24" t="str">
        <f t="shared" si="0"/>
        <v>rokprognozy=2031 i lp=10</v>
      </c>
      <c r="X13" s="24" t="str">
        <f t="shared" si="0"/>
        <v>rokprognozy=2032 i lp=10</v>
      </c>
      <c r="Y13" s="24" t="str">
        <f t="shared" si="0"/>
        <v>rokprognozy=2033 i lp=10</v>
      </c>
      <c r="Z13" s="24" t="str">
        <f t="shared" si="0"/>
        <v>rokprognozy=2034 i lp=10</v>
      </c>
      <c r="AA13" s="24" t="str">
        <f t="shared" si="0"/>
        <v>rokprognozy=2035 i lp=10</v>
      </c>
      <c r="AB13" s="24" t="str">
        <f t="shared" si="0"/>
        <v>rokprognozy=2036 i lp=10</v>
      </c>
      <c r="AC13" s="24" t="str">
        <f t="shared" si="0"/>
        <v>rokprognozy=2037 i lp=10</v>
      </c>
      <c r="AD13" s="24" t="str">
        <f t="shared" si="0"/>
        <v>rokprognozy=2038 i lp=10</v>
      </c>
      <c r="AE13" s="24" t="str">
        <f t="shared" si="0"/>
        <v>rokprognozy=2039 i lp=10</v>
      </c>
      <c r="AF13" s="24" t="str">
        <f t="shared" si="0"/>
        <v>rokprognozy=2040 i lp=10</v>
      </c>
      <c r="AG13" s="24" t="str">
        <f t="shared" si="1"/>
        <v>rokprognozy=2041 i lp=10</v>
      </c>
      <c r="AH13" s="24" t="str">
        <f t="shared" si="1"/>
        <v>rokprognozy=2042 i lp=10</v>
      </c>
      <c r="AI13" s="24" t="str">
        <f t="shared" si="1"/>
        <v>rokprognozy=2043 i lp=10</v>
      </c>
      <c r="AJ13" s="24" t="str">
        <f t="shared" si="1"/>
        <v>rokprognozy=2044 i lp=10</v>
      </c>
      <c r="AK13" s="24" t="str">
        <f t="shared" si="1"/>
        <v>rokprognozy=2045 i lp=10</v>
      </c>
      <c r="AL13" s="24" t="str">
        <f t="shared" si="1"/>
        <v>rokprognozy=2046 i lp=10</v>
      </c>
      <c r="AM13" s="24" t="str">
        <f t="shared" si="1"/>
        <v>rokprognozy=2047 i lp=10</v>
      </c>
      <c r="AN13" s="24" t="str">
        <f t="shared" si="1"/>
        <v>rokprognozy=2048 i lp=10</v>
      </c>
      <c r="AO13" s="24" t="str">
        <f t="shared" si="1"/>
        <v>rokprognozy=2049 i lp=10</v>
      </c>
      <c r="AP13" s="24" t="str">
        <f t="shared" si="1"/>
        <v>rokprognozy=2050 i lp=10</v>
      </c>
    </row>
    <row r="14" spans="1:42" ht="14.25" customHeight="1">
      <c r="A14" s="9">
        <v>11</v>
      </c>
      <c r="B14" s="36" t="s">
        <v>110</v>
      </c>
      <c r="C14" s="49" t="s">
        <v>111</v>
      </c>
      <c r="D14" s="24" t="str">
        <f t="shared" si="2"/>
        <v>rokprognozy=2012 i lp=11</v>
      </c>
      <c r="E14" s="24" t="str">
        <f t="shared" si="2"/>
        <v>rokprognozy=2013 i lp=11</v>
      </c>
      <c r="F14" s="24" t="str">
        <f t="shared" si="2"/>
        <v>rokprognozy=2014 i lp=11</v>
      </c>
      <c r="G14" s="24" t="str">
        <f t="shared" si="2"/>
        <v>rokprognozy=2015 i lp=11</v>
      </c>
      <c r="H14" s="24" t="str">
        <f t="shared" si="2"/>
        <v>rokprognozy=2016 i lp=11</v>
      </c>
      <c r="I14" s="24" t="str">
        <f t="shared" si="2"/>
        <v>rokprognozy=2017 i lp=11</v>
      </c>
      <c r="J14" s="24" t="str">
        <f t="shared" si="2"/>
        <v>rokprognozy=2018 i lp=11</v>
      </c>
      <c r="K14" s="24" t="str">
        <f t="shared" si="2"/>
        <v>rokprognozy=2019 i lp=11</v>
      </c>
      <c r="L14" s="24" t="str">
        <f t="shared" si="2"/>
        <v>rokprognozy=2020 i lp=11</v>
      </c>
      <c r="M14" s="24" t="str">
        <f t="shared" si="0"/>
        <v>rokprognozy=2021 i lp=11</v>
      </c>
      <c r="N14" s="24" t="str">
        <f t="shared" si="0"/>
        <v>rokprognozy=2022 i lp=11</v>
      </c>
      <c r="O14" s="24" t="str">
        <f t="shared" si="0"/>
        <v>rokprognozy=2023 i lp=11</v>
      </c>
      <c r="P14" s="24" t="str">
        <f t="shared" si="0"/>
        <v>rokprognozy=2024 i lp=11</v>
      </c>
      <c r="Q14" s="24" t="str">
        <f t="shared" si="0"/>
        <v>rokprognozy=2025 i lp=11</v>
      </c>
      <c r="R14" s="24" t="str">
        <f t="shared" si="0"/>
        <v>rokprognozy=2026 i lp=11</v>
      </c>
      <c r="S14" s="24" t="str">
        <f t="shared" si="0"/>
        <v>rokprognozy=2027 i lp=11</v>
      </c>
      <c r="T14" s="24" t="str">
        <f t="shared" si="0"/>
        <v>rokprognozy=2028 i lp=11</v>
      </c>
      <c r="U14" s="24" t="str">
        <f t="shared" si="0"/>
        <v>rokprognozy=2029 i lp=11</v>
      </c>
      <c r="V14" s="24" t="str">
        <f t="shared" si="0"/>
        <v>rokprognozy=2030 i lp=11</v>
      </c>
      <c r="W14" s="24" t="str">
        <f t="shared" si="0"/>
        <v>rokprognozy=2031 i lp=11</v>
      </c>
      <c r="X14" s="24" t="str">
        <f t="shared" si="0"/>
        <v>rokprognozy=2032 i lp=11</v>
      </c>
      <c r="Y14" s="24" t="str">
        <f t="shared" si="0"/>
        <v>rokprognozy=2033 i lp=11</v>
      </c>
      <c r="Z14" s="24" t="str">
        <f t="shared" si="0"/>
        <v>rokprognozy=2034 i lp=11</v>
      </c>
      <c r="AA14" s="24" t="str">
        <f t="shared" si="0"/>
        <v>rokprognozy=2035 i lp=11</v>
      </c>
      <c r="AB14" s="24" t="str">
        <f t="shared" si="0"/>
        <v>rokprognozy=2036 i lp=11</v>
      </c>
      <c r="AC14" s="24" t="str">
        <f t="shared" si="0"/>
        <v>rokprognozy=2037 i lp=11</v>
      </c>
      <c r="AD14" s="24" t="str">
        <f t="shared" si="0"/>
        <v>rokprognozy=2038 i lp=11</v>
      </c>
      <c r="AE14" s="24" t="str">
        <f t="shared" si="0"/>
        <v>rokprognozy=2039 i lp=11</v>
      </c>
      <c r="AF14" s="24" t="str">
        <f t="shared" si="0"/>
        <v>rokprognozy=2040 i lp=11</v>
      </c>
      <c r="AG14" s="24" t="str">
        <f t="shared" si="1"/>
        <v>rokprognozy=2041 i lp=11</v>
      </c>
      <c r="AH14" s="24" t="str">
        <f t="shared" si="1"/>
        <v>rokprognozy=2042 i lp=11</v>
      </c>
      <c r="AI14" s="24" t="str">
        <f t="shared" si="1"/>
        <v>rokprognozy=2043 i lp=11</v>
      </c>
      <c r="AJ14" s="24" t="str">
        <f t="shared" si="1"/>
        <v>rokprognozy=2044 i lp=11</v>
      </c>
      <c r="AK14" s="24" t="str">
        <f t="shared" si="1"/>
        <v>rokprognozy=2045 i lp=11</v>
      </c>
      <c r="AL14" s="24" t="str">
        <f t="shared" si="1"/>
        <v>rokprognozy=2046 i lp=11</v>
      </c>
      <c r="AM14" s="24" t="str">
        <f t="shared" si="1"/>
        <v>rokprognozy=2047 i lp=11</v>
      </c>
      <c r="AN14" s="24" t="str">
        <f t="shared" si="1"/>
        <v>rokprognozy=2048 i lp=11</v>
      </c>
      <c r="AO14" s="24" t="str">
        <f t="shared" si="1"/>
        <v>rokprognozy=2049 i lp=11</v>
      </c>
      <c r="AP14" s="24" t="str">
        <f t="shared" si="1"/>
        <v>rokprognozy=2050 i lp=11</v>
      </c>
    </row>
    <row r="15" spans="1:42" ht="14.25" customHeight="1">
      <c r="A15" s="8">
        <v>12</v>
      </c>
      <c r="B15" s="36" t="s">
        <v>112</v>
      </c>
      <c r="C15" s="45" t="s">
        <v>113</v>
      </c>
      <c r="D15" s="24" t="str">
        <f t="shared" si="2"/>
        <v>rokprognozy=2012 i lp=12</v>
      </c>
      <c r="E15" s="24" t="str">
        <f t="shared" si="2"/>
        <v>rokprognozy=2013 i lp=12</v>
      </c>
      <c r="F15" s="24" t="str">
        <f t="shared" si="2"/>
        <v>rokprognozy=2014 i lp=12</v>
      </c>
      <c r="G15" s="24" t="str">
        <f t="shared" si="2"/>
        <v>rokprognozy=2015 i lp=12</v>
      </c>
      <c r="H15" s="24" t="str">
        <f t="shared" si="2"/>
        <v>rokprognozy=2016 i lp=12</v>
      </c>
      <c r="I15" s="24" t="str">
        <f t="shared" si="2"/>
        <v>rokprognozy=2017 i lp=12</v>
      </c>
      <c r="J15" s="24" t="str">
        <f t="shared" si="2"/>
        <v>rokprognozy=2018 i lp=12</v>
      </c>
      <c r="K15" s="24" t="str">
        <f t="shared" si="2"/>
        <v>rokprognozy=2019 i lp=12</v>
      </c>
      <c r="L15" s="24" t="str">
        <f t="shared" si="2"/>
        <v>rokprognozy=2020 i lp=12</v>
      </c>
      <c r="M15" s="24" t="str">
        <f t="shared" si="0"/>
        <v>rokprognozy=2021 i lp=12</v>
      </c>
      <c r="N15" s="24" t="str">
        <f t="shared" si="0"/>
        <v>rokprognozy=2022 i lp=12</v>
      </c>
      <c r="O15" s="24" t="str">
        <f t="shared" si="0"/>
        <v>rokprognozy=2023 i lp=12</v>
      </c>
      <c r="P15" s="24" t="str">
        <f t="shared" si="0"/>
        <v>rokprognozy=2024 i lp=12</v>
      </c>
      <c r="Q15" s="24" t="str">
        <f t="shared" si="0"/>
        <v>rokprognozy=2025 i lp=12</v>
      </c>
      <c r="R15" s="24" t="str">
        <f t="shared" si="0"/>
        <v>rokprognozy=2026 i lp=12</v>
      </c>
      <c r="S15" s="24" t="str">
        <f t="shared" si="0"/>
        <v>rokprognozy=2027 i lp=12</v>
      </c>
      <c r="T15" s="24" t="str">
        <f t="shared" si="0"/>
        <v>rokprognozy=2028 i lp=12</v>
      </c>
      <c r="U15" s="24" t="str">
        <f t="shared" si="0"/>
        <v>rokprognozy=2029 i lp=12</v>
      </c>
      <c r="V15" s="24" t="str">
        <f t="shared" si="0"/>
        <v>rokprognozy=2030 i lp=12</v>
      </c>
      <c r="W15" s="24" t="str">
        <f t="shared" si="0"/>
        <v>rokprognozy=2031 i lp=12</v>
      </c>
      <c r="X15" s="24" t="str">
        <f t="shared" si="0"/>
        <v>rokprognozy=2032 i lp=12</v>
      </c>
      <c r="Y15" s="24" t="str">
        <f t="shared" si="0"/>
        <v>rokprognozy=2033 i lp=12</v>
      </c>
      <c r="Z15" s="24" t="str">
        <f t="shared" si="0"/>
        <v>rokprognozy=2034 i lp=12</v>
      </c>
      <c r="AA15" s="24" t="str">
        <f t="shared" si="0"/>
        <v>rokprognozy=2035 i lp=12</v>
      </c>
      <c r="AB15" s="24" t="str">
        <f t="shared" si="0"/>
        <v>rokprognozy=2036 i lp=12</v>
      </c>
      <c r="AC15" s="24" t="str">
        <f t="shared" si="0"/>
        <v>rokprognozy=2037 i lp=12</v>
      </c>
      <c r="AD15" s="24" t="str">
        <f t="shared" si="0"/>
        <v>rokprognozy=2038 i lp=12</v>
      </c>
      <c r="AE15" s="24" t="str">
        <f t="shared" si="0"/>
        <v>rokprognozy=2039 i lp=12</v>
      </c>
      <c r="AF15" s="24" t="str">
        <f t="shared" si="0"/>
        <v>rokprognozy=2040 i lp=12</v>
      </c>
      <c r="AG15" s="24" t="str">
        <f t="shared" si="1"/>
        <v>rokprognozy=2041 i lp=12</v>
      </c>
      <c r="AH15" s="24" t="str">
        <f t="shared" si="1"/>
        <v>rokprognozy=2042 i lp=12</v>
      </c>
      <c r="AI15" s="24" t="str">
        <f t="shared" si="1"/>
        <v>rokprognozy=2043 i lp=12</v>
      </c>
      <c r="AJ15" s="24" t="str">
        <f t="shared" si="1"/>
        <v>rokprognozy=2044 i lp=12</v>
      </c>
      <c r="AK15" s="24" t="str">
        <f t="shared" si="1"/>
        <v>rokprognozy=2045 i lp=12</v>
      </c>
      <c r="AL15" s="24" t="str">
        <f t="shared" si="1"/>
        <v>rokprognozy=2046 i lp=12</v>
      </c>
      <c r="AM15" s="24" t="str">
        <f t="shared" si="1"/>
        <v>rokprognozy=2047 i lp=12</v>
      </c>
      <c r="AN15" s="24" t="str">
        <f t="shared" si="1"/>
        <v>rokprognozy=2048 i lp=12</v>
      </c>
      <c r="AO15" s="24" t="str">
        <f t="shared" si="1"/>
        <v>rokprognozy=2049 i lp=12</v>
      </c>
      <c r="AP15" s="24" t="str">
        <f t="shared" si="1"/>
        <v>rokprognozy=2050 i lp=12</v>
      </c>
    </row>
    <row r="16" spans="1:42" ht="14.25" customHeight="1">
      <c r="A16" s="7">
        <v>13</v>
      </c>
      <c r="B16" s="36" t="s">
        <v>114</v>
      </c>
      <c r="C16" s="2" t="s">
        <v>115</v>
      </c>
      <c r="D16" s="24" t="str">
        <f t="shared" si="2"/>
        <v>rokprognozy=2012 i lp=13</v>
      </c>
      <c r="E16" s="24" t="str">
        <f t="shared" si="2"/>
        <v>rokprognozy=2013 i lp=13</v>
      </c>
      <c r="F16" s="24" t="str">
        <f t="shared" si="2"/>
        <v>rokprognozy=2014 i lp=13</v>
      </c>
      <c r="G16" s="24" t="str">
        <f t="shared" si="2"/>
        <v>rokprognozy=2015 i lp=13</v>
      </c>
      <c r="H16" s="24" t="str">
        <f t="shared" si="2"/>
        <v>rokprognozy=2016 i lp=13</v>
      </c>
      <c r="I16" s="24" t="str">
        <f t="shared" si="2"/>
        <v>rokprognozy=2017 i lp=13</v>
      </c>
      <c r="J16" s="24" t="str">
        <f t="shared" si="2"/>
        <v>rokprognozy=2018 i lp=13</v>
      </c>
      <c r="K16" s="24" t="str">
        <f t="shared" si="2"/>
        <v>rokprognozy=2019 i lp=13</v>
      </c>
      <c r="L16" s="24" t="str">
        <f t="shared" si="2"/>
        <v>rokprognozy=2020 i lp=13</v>
      </c>
      <c r="M16" s="24" t="str">
        <f t="shared" si="0"/>
        <v>rokprognozy=2021 i lp=13</v>
      </c>
      <c r="N16" s="24" t="str">
        <f t="shared" si="0"/>
        <v>rokprognozy=2022 i lp=13</v>
      </c>
      <c r="O16" s="24" t="str">
        <f t="shared" si="0"/>
        <v>rokprognozy=2023 i lp=13</v>
      </c>
      <c r="P16" s="24" t="str">
        <f t="shared" si="0"/>
        <v>rokprognozy=2024 i lp=13</v>
      </c>
      <c r="Q16" s="24" t="str">
        <f t="shared" si="0"/>
        <v>rokprognozy=2025 i lp=13</v>
      </c>
      <c r="R16" s="24" t="str">
        <f t="shared" si="0"/>
        <v>rokprognozy=2026 i lp=13</v>
      </c>
      <c r="S16" s="24" t="str">
        <f t="shared" ref="S16:AP16" si="3">+"rokprognozy="&amp;S$3&amp;" i lp="&amp;$A16</f>
        <v>rokprognozy=2027 i lp=13</v>
      </c>
      <c r="T16" s="24" t="str">
        <f t="shared" si="3"/>
        <v>rokprognozy=2028 i lp=13</v>
      </c>
      <c r="U16" s="24" t="str">
        <f t="shared" si="3"/>
        <v>rokprognozy=2029 i lp=13</v>
      </c>
      <c r="V16" s="24" t="str">
        <f t="shared" si="3"/>
        <v>rokprognozy=2030 i lp=13</v>
      </c>
      <c r="W16" s="24" t="str">
        <f t="shared" si="3"/>
        <v>rokprognozy=2031 i lp=13</v>
      </c>
      <c r="X16" s="24" t="str">
        <f t="shared" si="3"/>
        <v>rokprognozy=2032 i lp=13</v>
      </c>
      <c r="Y16" s="24" t="str">
        <f t="shared" si="3"/>
        <v>rokprognozy=2033 i lp=13</v>
      </c>
      <c r="Z16" s="24" t="str">
        <f t="shared" si="3"/>
        <v>rokprognozy=2034 i lp=13</v>
      </c>
      <c r="AA16" s="24" t="str">
        <f t="shared" si="3"/>
        <v>rokprognozy=2035 i lp=13</v>
      </c>
      <c r="AB16" s="24" t="str">
        <f t="shared" si="3"/>
        <v>rokprognozy=2036 i lp=13</v>
      </c>
      <c r="AC16" s="24" t="str">
        <f t="shared" si="3"/>
        <v>rokprognozy=2037 i lp=13</v>
      </c>
      <c r="AD16" s="24" t="str">
        <f t="shared" si="3"/>
        <v>rokprognozy=2038 i lp=13</v>
      </c>
      <c r="AE16" s="24" t="str">
        <f t="shared" si="3"/>
        <v>rokprognozy=2039 i lp=13</v>
      </c>
      <c r="AF16" s="24" t="str">
        <f t="shared" si="3"/>
        <v>rokprognozy=2040 i lp=13</v>
      </c>
      <c r="AG16" s="24" t="str">
        <f t="shared" si="3"/>
        <v>rokprognozy=2041 i lp=13</v>
      </c>
      <c r="AH16" s="24" t="str">
        <f t="shared" si="3"/>
        <v>rokprognozy=2042 i lp=13</v>
      </c>
      <c r="AI16" s="24" t="str">
        <f t="shared" si="3"/>
        <v>rokprognozy=2043 i lp=13</v>
      </c>
      <c r="AJ16" s="24" t="str">
        <f t="shared" si="3"/>
        <v>rokprognozy=2044 i lp=13</v>
      </c>
      <c r="AK16" s="24" t="str">
        <f t="shared" si="3"/>
        <v>rokprognozy=2045 i lp=13</v>
      </c>
      <c r="AL16" s="24" t="str">
        <f t="shared" si="3"/>
        <v>rokprognozy=2046 i lp=13</v>
      </c>
      <c r="AM16" s="24" t="str">
        <f t="shared" si="3"/>
        <v>rokprognozy=2047 i lp=13</v>
      </c>
      <c r="AN16" s="24" t="str">
        <f t="shared" si="3"/>
        <v>rokprognozy=2048 i lp=13</v>
      </c>
      <c r="AO16" s="24" t="str">
        <f t="shared" si="3"/>
        <v>rokprognozy=2049 i lp=13</v>
      </c>
      <c r="AP16" s="24" t="str">
        <f t="shared" si="3"/>
        <v>rokprognozy=2050 i lp=13</v>
      </c>
    </row>
    <row r="17" spans="1:42" ht="14.25" customHeight="1">
      <c r="A17" s="8">
        <v>14</v>
      </c>
      <c r="B17" s="36">
        <v>3</v>
      </c>
      <c r="C17" s="45" t="s">
        <v>116</v>
      </c>
      <c r="D17" s="24" t="str">
        <f t="shared" si="2"/>
        <v>rokprognozy=2012 i lp=14</v>
      </c>
      <c r="E17" s="24" t="str">
        <f t="shared" si="2"/>
        <v>rokprognozy=2013 i lp=14</v>
      </c>
      <c r="F17" s="24" t="str">
        <f t="shared" si="2"/>
        <v>rokprognozy=2014 i lp=14</v>
      </c>
      <c r="G17" s="24" t="str">
        <f t="shared" si="2"/>
        <v>rokprognozy=2015 i lp=14</v>
      </c>
      <c r="H17" s="24" t="str">
        <f t="shared" si="2"/>
        <v>rokprognozy=2016 i lp=14</v>
      </c>
      <c r="I17" s="24" t="str">
        <f t="shared" si="2"/>
        <v>rokprognozy=2017 i lp=14</v>
      </c>
      <c r="J17" s="24" t="str">
        <f t="shared" si="2"/>
        <v>rokprognozy=2018 i lp=14</v>
      </c>
      <c r="K17" s="24" t="str">
        <f t="shared" si="2"/>
        <v>rokprognozy=2019 i lp=14</v>
      </c>
      <c r="L17" s="24" t="str">
        <f t="shared" si="2"/>
        <v>rokprognozy=2020 i lp=14</v>
      </c>
      <c r="M17" s="24" t="str">
        <f t="shared" ref="M17:AB32" si="4">+"rokprognozy="&amp;M$3&amp;" i lp="&amp;$A17</f>
        <v>rokprognozy=2021 i lp=14</v>
      </c>
      <c r="N17" s="24" t="str">
        <f t="shared" si="4"/>
        <v>rokprognozy=2022 i lp=14</v>
      </c>
      <c r="O17" s="24" t="str">
        <f t="shared" si="4"/>
        <v>rokprognozy=2023 i lp=14</v>
      </c>
      <c r="P17" s="24" t="str">
        <f t="shared" si="4"/>
        <v>rokprognozy=2024 i lp=14</v>
      </c>
      <c r="Q17" s="24" t="str">
        <f t="shared" si="4"/>
        <v>rokprognozy=2025 i lp=14</v>
      </c>
      <c r="R17" s="24" t="str">
        <f t="shared" si="4"/>
        <v>rokprognozy=2026 i lp=14</v>
      </c>
      <c r="S17" s="24" t="str">
        <f t="shared" si="4"/>
        <v>rokprognozy=2027 i lp=14</v>
      </c>
      <c r="T17" s="24" t="str">
        <f t="shared" si="4"/>
        <v>rokprognozy=2028 i lp=14</v>
      </c>
      <c r="U17" s="24" t="str">
        <f t="shared" si="4"/>
        <v>rokprognozy=2029 i lp=14</v>
      </c>
      <c r="V17" s="24" t="str">
        <f t="shared" si="4"/>
        <v>rokprognozy=2030 i lp=14</v>
      </c>
      <c r="W17" s="24" t="str">
        <f t="shared" si="4"/>
        <v>rokprognozy=2031 i lp=14</v>
      </c>
      <c r="X17" s="24" t="str">
        <f t="shared" si="4"/>
        <v>rokprognozy=2032 i lp=14</v>
      </c>
      <c r="Y17" s="24" t="str">
        <f t="shared" si="4"/>
        <v>rokprognozy=2033 i lp=14</v>
      </c>
      <c r="Z17" s="24" t="str">
        <f t="shared" si="4"/>
        <v>rokprognozy=2034 i lp=14</v>
      </c>
      <c r="AA17" s="24" t="str">
        <f t="shared" si="4"/>
        <v>rokprognozy=2035 i lp=14</v>
      </c>
      <c r="AB17" s="24" t="str">
        <f t="shared" si="4"/>
        <v>rokprognozy=2036 i lp=14</v>
      </c>
      <c r="AC17" s="24" t="str">
        <f t="shared" ref="AC17:AP33" si="5">+"rokprognozy="&amp;AC$3&amp;" i lp="&amp;$A17</f>
        <v>rokprognozy=2037 i lp=14</v>
      </c>
      <c r="AD17" s="24" t="str">
        <f t="shared" si="5"/>
        <v>rokprognozy=2038 i lp=14</v>
      </c>
      <c r="AE17" s="24" t="str">
        <f t="shared" si="5"/>
        <v>rokprognozy=2039 i lp=14</v>
      </c>
      <c r="AF17" s="24" t="str">
        <f t="shared" si="5"/>
        <v>rokprognozy=2040 i lp=14</v>
      </c>
      <c r="AG17" s="24" t="str">
        <f t="shared" si="5"/>
        <v>rokprognozy=2041 i lp=14</v>
      </c>
      <c r="AH17" s="24" t="str">
        <f t="shared" si="5"/>
        <v>rokprognozy=2042 i lp=14</v>
      </c>
      <c r="AI17" s="24" t="str">
        <f t="shared" si="5"/>
        <v>rokprognozy=2043 i lp=14</v>
      </c>
      <c r="AJ17" s="24" t="str">
        <f t="shared" si="5"/>
        <v>rokprognozy=2044 i lp=14</v>
      </c>
      <c r="AK17" s="24" t="str">
        <f t="shared" si="5"/>
        <v>rokprognozy=2045 i lp=14</v>
      </c>
      <c r="AL17" s="24" t="str">
        <f t="shared" si="5"/>
        <v>rokprognozy=2046 i lp=14</v>
      </c>
      <c r="AM17" s="24" t="str">
        <f t="shared" si="5"/>
        <v>rokprognozy=2047 i lp=14</v>
      </c>
      <c r="AN17" s="24" t="str">
        <f t="shared" si="5"/>
        <v>rokprognozy=2048 i lp=14</v>
      </c>
      <c r="AO17" s="24" t="str">
        <f t="shared" si="5"/>
        <v>rokprognozy=2049 i lp=14</v>
      </c>
      <c r="AP17" s="24" t="str">
        <f t="shared" si="5"/>
        <v>rokprognozy=2050 i lp=14</v>
      </c>
    </row>
    <row r="18" spans="1:42" ht="14.25" customHeight="1">
      <c r="A18" s="9">
        <v>15</v>
      </c>
      <c r="B18" s="36">
        <v>4</v>
      </c>
      <c r="C18" s="44" t="s">
        <v>60</v>
      </c>
      <c r="D18" s="24" t="str">
        <f t="shared" si="2"/>
        <v>rokprognozy=2012 i lp=15</v>
      </c>
      <c r="E18" s="24" t="str">
        <f t="shared" si="2"/>
        <v>rokprognozy=2013 i lp=15</v>
      </c>
      <c r="F18" s="24" t="str">
        <f t="shared" si="2"/>
        <v>rokprognozy=2014 i lp=15</v>
      </c>
      <c r="G18" s="24" t="str">
        <f t="shared" si="2"/>
        <v>rokprognozy=2015 i lp=15</v>
      </c>
      <c r="H18" s="24" t="str">
        <f t="shared" si="2"/>
        <v>rokprognozy=2016 i lp=15</v>
      </c>
      <c r="I18" s="24" t="str">
        <f t="shared" si="2"/>
        <v>rokprognozy=2017 i lp=15</v>
      </c>
      <c r="J18" s="24" t="str">
        <f t="shared" si="2"/>
        <v>rokprognozy=2018 i lp=15</v>
      </c>
      <c r="K18" s="24" t="str">
        <f t="shared" si="2"/>
        <v>rokprognozy=2019 i lp=15</v>
      </c>
      <c r="L18" s="24" t="str">
        <f t="shared" si="2"/>
        <v>rokprognozy=2020 i lp=15</v>
      </c>
      <c r="M18" s="24" t="str">
        <f t="shared" si="4"/>
        <v>rokprognozy=2021 i lp=15</v>
      </c>
      <c r="N18" s="24" t="str">
        <f t="shared" si="4"/>
        <v>rokprognozy=2022 i lp=15</v>
      </c>
      <c r="O18" s="24" t="str">
        <f t="shared" si="4"/>
        <v>rokprognozy=2023 i lp=15</v>
      </c>
      <c r="P18" s="24" t="str">
        <f t="shared" si="4"/>
        <v>rokprognozy=2024 i lp=15</v>
      </c>
      <c r="Q18" s="24" t="str">
        <f t="shared" si="4"/>
        <v>rokprognozy=2025 i lp=15</v>
      </c>
      <c r="R18" s="24" t="str">
        <f t="shared" si="4"/>
        <v>rokprognozy=2026 i lp=15</v>
      </c>
      <c r="S18" s="24" t="str">
        <f t="shared" si="4"/>
        <v>rokprognozy=2027 i lp=15</v>
      </c>
      <c r="T18" s="24" t="str">
        <f t="shared" si="4"/>
        <v>rokprognozy=2028 i lp=15</v>
      </c>
      <c r="U18" s="24" t="str">
        <f t="shared" si="4"/>
        <v>rokprognozy=2029 i lp=15</v>
      </c>
      <c r="V18" s="24" t="str">
        <f t="shared" si="4"/>
        <v>rokprognozy=2030 i lp=15</v>
      </c>
      <c r="W18" s="24" t="str">
        <f t="shared" si="4"/>
        <v>rokprognozy=2031 i lp=15</v>
      </c>
      <c r="X18" s="24" t="str">
        <f t="shared" si="4"/>
        <v>rokprognozy=2032 i lp=15</v>
      </c>
      <c r="Y18" s="24" t="str">
        <f t="shared" si="4"/>
        <v>rokprognozy=2033 i lp=15</v>
      </c>
      <c r="Z18" s="24" t="str">
        <f t="shared" si="4"/>
        <v>rokprognozy=2034 i lp=15</v>
      </c>
      <c r="AA18" s="24" t="str">
        <f t="shared" si="4"/>
        <v>rokprognozy=2035 i lp=15</v>
      </c>
      <c r="AB18" s="24" t="str">
        <f t="shared" si="4"/>
        <v>rokprognozy=2036 i lp=15</v>
      </c>
      <c r="AC18" s="24" t="str">
        <f t="shared" si="5"/>
        <v>rokprognozy=2037 i lp=15</v>
      </c>
      <c r="AD18" s="24" t="str">
        <f t="shared" si="5"/>
        <v>rokprognozy=2038 i lp=15</v>
      </c>
      <c r="AE18" s="24" t="str">
        <f t="shared" si="5"/>
        <v>rokprognozy=2039 i lp=15</v>
      </c>
      <c r="AF18" s="24" t="str">
        <f t="shared" si="5"/>
        <v>rokprognozy=2040 i lp=15</v>
      </c>
      <c r="AG18" s="24" t="str">
        <f t="shared" si="5"/>
        <v>rokprognozy=2041 i lp=15</v>
      </c>
      <c r="AH18" s="24" t="str">
        <f t="shared" si="5"/>
        <v>rokprognozy=2042 i lp=15</v>
      </c>
      <c r="AI18" s="24" t="str">
        <f t="shared" si="5"/>
        <v>rokprognozy=2043 i lp=15</v>
      </c>
      <c r="AJ18" s="24" t="str">
        <f t="shared" si="5"/>
        <v>rokprognozy=2044 i lp=15</v>
      </c>
      <c r="AK18" s="24" t="str">
        <f t="shared" si="5"/>
        <v>rokprognozy=2045 i lp=15</v>
      </c>
      <c r="AL18" s="24" t="str">
        <f t="shared" si="5"/>
        <v>rokprognozy=2046 i lp=15</v>
      </c>
      <c r="AM18" s="24" t="str">
        <f t="shared" si="5"/>
        <v>rokprognozy=2047 i lp=15</v>
      </c>
      <c r="AN18" s="24" t="str">
        <f t="shared" si="5"/>
        <v>rokprognozy=2048 i lp=15</v>
      </c>
      <c r="AO18" s="24" t="str">
        <f t="shared" si="5"/>
        <v>rokprognozy=2049 i lp=15</v>
      </c>
      <c r="AP18" s="24" t="str">
        <f t="shared" si="5"/>
        <v>rokprognozy=2050 i lp=15</v>
      </c>
    </row>
    <row r="19" spans="1:42" ht="14.25" customHeight="1">
      <c r="A19" s="8">
        <v>16</v>
      </c>
      <c r="B19" s="36" t="s">
        <v>117</v>
      </c>
      <c r="C19" s="46" t="s">
        <v>118</v>
      </c>
      <c r="D19" s="24" t="str">
        <f t="shared" si="2"/>
        <v>rokprognozy=2012 i lp=16</v>
      </c>
      <c r="E19" s="24" t="str">
        <f t="shared" si="2"/>
        <v>rokprognozy=2013 i lp=16</v>
      </c>
      <c r="F19" s="24" t="str">
        <f t="shared" si="2"/>
        <v>rokprognozy=2014 i lp=16</v>
      </c>
      <c r="G19" s="24" t="str">
        <f t="shared" si="2"/>
        <v>rokprognozy=2015 i lp=16</v>
      </c>
      <c r="H19" s="24" t="str">
        <f t="shared" si="2"/>
        <v>rokprognozy=2016 i lp=16</v>
      </c>
      <c r="I19" s="24" t="str">
        <f t="shared" si="2"/>
        <v>rokprognozy=2017 i lp=16</v>
      </c>
      <c r="J19" s="24" t="str">
        <f t="shared" si="2"/>
        <v>rokprognozy=2018 i lp=16</v>
      </c>
      <c r="K19" s="24" t="str">
        <f t="shared" si="2"/>
        <v>rokprognozy=2019 i lp=16</v>
      </c>
      <c r="L19" s="24" t="str">
        <f t="shared" si="2"/>
        <v>rokprognozy=2020 i lp=16</v>
      </c>
      <c r="M19" s="24" t="str">
        <f t="shared" si="4"/>
        <v>rokprognozy=2021 i lp=16</v>
      </c>
      <c r="N19" s="24" t="str">
        <f t="shared" si="4"/>
        <v>rokprognozy=2022 i lp=16</v>
      </c>
      <c r="O19" s="24" t="str">
        <f t="shared" si="4"/>
        <v>rokprognozy=2023 i lp=16</v>
      </c>
      <c r="P19" s="24" t="str">
        <f t="shared" si="4"/>
        <v>rokprognozy=2024 i lp=16</v>
      </c>
      <c r="Q19" s="24" t="str">
        <f t="shared" si="4"/>
        <v>rokprognozy=2025 i lp=16</v>
      </c>
      <c r="R19" s="24" t="str">
        <f t="shared" si="4"/>
        <v>rokprognozy=2026 i lp=16</v>
      </c>
      <c r="S19" s="24" t="str">
        <f t="shared" si="4"/>
        <v>rokprognozy=2027 i lp=16</v>
      </c>
      <c r="T19" s="24" t="str">
        <f t="shared" si="4"/>
        <v>rokprognozy=2028 i lp=16</v>
      </c>
      <c r="U19" s="24" t="str">
        <f t="shared" si="4"/>
        <v>rokprognozy=2029 i lp=16</v>
      </c>
      <c r="V19" s="24" t="str">
        <f t="shared" si="4"/>
        <v>rokprognozy=2030 i lp=16</v>
      </c>
      <c r="W19" s="24" t="str">
        <f t="shared" si="4"/>
        <v>rokprognozy=2031 i lp=16</v>
      </c>
      <c r="X19" s="24" t="str">
        <f t="shared" si="4"/>
        <v>rokprognozy=2032 i lp=16</v>
      </c>
      <c r="Y19" s="24" t="str">
        <f t="shared" si="4"/>
        <v>rokprognozy=2033 i lp=16</v>
      </c>
      <c r="Z19" s="24" t="str">
        <f t="shared" si="4"/>
        <v>rokprognozy=2034 i lp=16</v>
      </c>
      <c r="AA19" s="24" t="str">
        <f t="shared" si="4"/>
        <v>rokprognozy=2035 i lp=16</v>
      </c>
      <c r="AB19" s="24" t="str">
        <f t="shared" si="4"/>
        <v>rokprognozy=2036 i lp=16</v>
      </c>
      <c r="AC19" s="24" t="str">
        <f t="shared" si="5"/>
        <v>rokprognozy=2037 i lp=16</v>
      </c>
      <c r="AD19" s="24" t="str">
        <f t="shared" si="5"/>
        <v>rokprognozy=2038 i lp=16</v>
      </c>
      <c r="AE19" s="24" t="str">
        <f t="shared" si="5"/>
        <v>rokprognozy=2039 i lp=16</v>
      </c>
      <c r="AF19" s="24" t="str">
        <f t="shared" si="5"/>
        <v>rokprognozy=2040 i lp=16</v>
      </c>
      <c r="AG19" s="24" t="str">
        <f t="shared" si="5"/>
        <v>rokprognozy=2041 i lp=16</v>
      </c>
      <c r="AH19" s="24" t="str">
        <f t="shared" si="5"/>
        <v>rokprognozy=2042 i lp=16</v>
      </c>
      <c r="AI19" s="24" t="str">
        <f t="shared" si="5"/>
        <v>rokprognozy=2043 i lp=16</v>
      </c>
      <c r="AJ19" s="24" t="str">
        <f t="shared" si="5"/>
        <v>rokprognozy=2044 i lp=16</v>
      </c>
      <c r="AK19" s="24" t="str">
        <f t="shared" si="5"/>
        <v>rokprognozy=2045 i lp=16</v>
      </c>
      <c r="AL19" s="24" t="str">
        <f t="shared" si="5"/>
        <v>rokprognozy=2046 i lp=16</v>
      </c>
      <c r="AM19" s="24" t="str">
        <f t="shared" si="5"/>
        <v>rokprognozy=2047 i lp=16</v>
      </c>
      <c r="AN19" s="24" t="str">
        <f t="shared" si="5"/>
        <v>rokprognozy=2048 i lp=16</v>
      </c>
      <c r="AO19" s="24" t="str">
        <f t="shared" si="5"/>
        <v>rokprognozy=2049 i lp=16</v>
      </c>
      <c r="AP19" s="24" t="str">
        <f t="shared" si="5"/>
        <v>rokprognozy=2050 i lp=16</v>
      </c>
    </row>
    <row r="20" spans="1:42" ht="14.25" customHeight="1">
      <c r="A20" s="7">
        <v>17</v>
      </c>
      <c r="B20" s="36">
        <v>5</v>
      </c>
      <c r="C20" s="15" t="s">
        <v>119</v>
      </c>
      <c r="D20" s="24" t="str">
        <f t="shared" si="2"/>
        <v>rokprognozy=2012 i lp=17</v>
      </c>
      <c r="E20" s="24" t="str">
        <f t="shared" si="2"/>
        <v>rokprognozy=2013 i lp=17</v>
      </c>
      <c r="F20" s="24" t="str">
        <f t="shared" si="2"/>
        <v>rokprognozy=2014 i lp=17</v>
      </c>
      <c r="G20" s="24" t="str">
        <f t="shared" si="2"/>
        <v>rokprognozy=2015 i lp=17</v>
      </c>
      <c r="H20" s="24" t="str">
        <f t="shared" si="2"/>
        <v>rokprognozy=2016 i lp=17</v>
      </c>
      <c r="I20" s="24" t="str">
        <f t="shared" si="2"/>
        <v>rokprognozy=2017 i lp=17</v>
      </c>
      <c r="J20" s="24" t="str">
        <f t="shared" si="2"/>
        <v>rokprognozy=2018 i lp=17</v>
      </c>
      <c r="K20" s="24" t="str">
        <f t="shared" si="2"/>
        <v>rokprognozy=2019 i lp=17</v>
      </c>
      <c r="L20" s="24" t="str">
        <f t="shared" si="2"/>
        <v>rokprognozy=2020 i lp=17</v>
      </c>
      <c r="M20" s="24" t="str">
        <f t="shared" si="4"/>
        <v>rokprognozy=2021 i lp=17</v>
      </c>
      <c r="N20" s="24" t="str">
        <f t="shared" si="4"/>
        <v>rokprognozy=2022 i lp=17</v>
      </c>
      <c r="O20" s="24" t="str">
        <f t="shared" si="4"/>
        <v>rokprognozy=2023 i lp=17</v>
      </c>
      <c r="P20" s="24" t="str">
        <f t="shared" si="4"/>
        <v>rokprognozy=2024 i lp=17</v>
      </c>
      <c r="Q20" s="24" t="str">
        <f t="shared" si="4"/>
        <v>rokprognozy=2025 i lp=17</v>
      </c>
      <c r="R20" s="24" t="str">
        <f t="shared" si="4"/>
        <v>rokprognozy=2026 i lp=17</v>
      </c>
      <c r="S20" s="24" t="str">
        <f t="shared" si="4"/>
        <v>rokprognozy=2027 i lp=17</v>
      </c>
      <c r="T20" s="24" t="str">
        <f t="shared" si="4"/>
        <v>rokprognozy=2028 i lp=17</v>
      </c>
      <c r="U20" s="24" t="str">
        <f t="shared" si="4"/>
        <v>rokprognozy=2029 i lp=17</v>
      </c>
      <c r="V20" s="24" t="str">
        <f t="shared" si="4"/>
        <v>rokprognozy=2030 i lp=17</v>
      </c>
      <c r="W20" s="24" t="str">
        <f t="shared" si="4"/>
        <v>rokprognozy=2031 i lp=17</v>
      </c>
      <c r="X20" s="24" t="str">
        <f t="shared" si="4"/>
        <v>rokprognozy=2032 i lp=17</v>
      </c>
      <c r="Y20" s="24" t="str">
        <f t="shared" si="4"/>
        <v>rokprognozy=2033 i lp=17</v>
      </c>
      <c r="Z20" s="24" t="str">
        <f t="shared" si="4"/>
        <v>rokprognozy=2034 i lp=17</v>
      </c>
      <c r="AA20" s="24" t="str">
        <f t="shared" si="4"/>
        <v>rokprognozy=2035 i lp=17</v>
      </c>
      <c r="AB20" s="24" t="str">
        <f t="shared" si="4"/>
        <v>rokprognozy=2036 i lp=17</v>
      </c>
      <c r="AC20" s="24" t="str">
        <f t="shared" si="5"/>
        <v>rokprognozy=2037 i lp=17</v>
      </c>
      <c r="AD20" s="24" t="str">
        <f t="shared" si="5"/>
        <v>rokprognozy=2038 i lp=17</v>
      </c>
      <c r="AE20" s="24" t="str">
        <f t="shared" si="5"/>
        <v>rokprognozy=2039 i lp=17</v>
      </c>
      <c r="AF20" s="24" t="str">
        <f t="shared" si="5"/>
        <v>rokprognozy=2040 i lp=17</v>
      </c>
      <c r="AG20" s="24" t="str">
        <f t="shared" si="5"/>
        <v>rokprognozy=2041 i lp=17</v>
      </c>
      <c r="AH20" s="24" t="str">
        <f t="shared" si="5"/>
        <v>rokprognozy=2042 i lp=17</v>
      </c>
      <c r="AI20" s="24" t="str">
        <f t="shared" si="5"/>
        <v>rokprognozy=2043 i lp=17</v>
      </c>
      <c r="AJ20" s="24" t="str">
        <f t="shared" si="5"/>
        <v>rokprognozy=2044 i lp=17</v>
      </c>
      <c r="AK20" s="24" t="str">
        <f t="shared" si="5"/>
        <v>rokprognozy=2045 i lp=17</v>
      </c>
      <c r="AL20" s="24" t="str">
        <f t="shared" si="5"/>
        <v>rokprognozy=2046 i lp=17</v>
      </c>
      <c r="AM20" s="24" t="str">
        <f t="shared" si="5"/>
        <v>rokprognozy=2047 i lp=17</v>
      </c>
      <c r="AN20" s="24" t="str">
        <f t="shared" si="5"/>
        <v>rokprognozy=2048 i lp=17</v>
      </c>
      <c r="AO20" s="24" t="str">
        <f t="shared" si="5"/>
        <v>rokprognozy=2049 i lp=17</v>
      </c>
      <c r="AP20" s="24" t="str">
        <f t="shared" si="5"/>
        <v>rokprognozy=2050 i lp=17</v>
      </c>
    </row>
    <row r="21" spans="1:42" ht="14.25" customHeight="1">
      <c r="A21" s="7">
        <v>18</v>
      </c>
      <c r="B21" s="36" t="s">
        <v>120</v>
      </c>
      <c r="C21" s="15" t="s">
        <v>118</v>
      </c>
      <c r="D21" s="24" t="str">
        <f t="shared" si="2"/>
        <v>rokprognozy=2012 i lp=18</v>
      </c>
      <c r="E21" s="24" t="str">
        <f t="shared" si="2"/>
        <v>rokprognozy=2013 i lp=18</v>
      </c>
      <c r="F21" s="24" t="str">
        <f t="shared" si="2"/>
        <v>rokprognozy=2014 i lp=18</v>
      </c>
      <c r="G21" s="24" t="str">
        <f t="shared" si="2"/>
        <v>rokprognozy=2015 i lp=18</v>
      </c>
      <c r="H21" s="24" t="str">
        <f t="shared" si="2"/>
        <v>rokprognozy=2016 i lp=18</v>
      </c>
      <c r="I21" s="24" t="str">
        <f t="shared" si="2"/>
        <v>rokprognozy=2017 i lp=18</v>
      </c>
      <c r="J21" s="24" t="str">
        <f t="shared" si="2"/>
        <v>rokprognozy=2018 i lp=18</v>
      </c>
      <c r="K21" s="24" t="str">
        <f t="shared" si="2"/>
        <v>rokprognozy=2019 i lp=18</v>
      </c>
      <c r="L21" s="24" t="str">
        <f t="shared" si="2"/>
        <v>rokprognozy=2020 i lp=18</v>
      </c>
      <c r="M21" s="24" t="str">
        <f t="shared" si="4"/>
        <v>rokprognozy=2021 i lp=18</v>
      </c>
      <c r="N21" s="24" t="str">
        <f t="shared" si="4"/>
        <v>rokprognozy=2022 i lp=18</v>
      </c>
      <c r="O21" s="24" t="str">
        <f t="shared" si="4"/>
        <v>rokprognozy=2023 i lp=18</v>
      </c>
      <c r="P21" s="24" t="str">
        <f t="shared" si="4"/>
        <v>rokprognozy=2024 i lp=18</v>
      </c>
      <c r="Q21" s="24" t="str">
        <f t="shared" si="4"/>
        <v>rokprognozy=2025 i lp=18</v>
      </c>
      <c r="R21" s="24" t="str">
        <f t="shared" si="4"/>
        <v>rokprognozy=2026 i lp=18</v>
      </c>
      <c r="S21" s="24" t="str">
        <f t="shared" si="4"/>
        <v>rokprognozy=2027 i lp=18</v>
      </c>
      <c r="T21" s="24" t="str">
        <f t="shared" si="4"/>
        <v>rokprognozy=2028 i lp=18</v>
      </c>
      <c r="U21" s="24" t="str">
        <f t="shared" si="4"/>
        <v>rokprognozy=2029 i lp=18</v>
      </c>
      <c r="V21" s="24" t="str">
        <f t="shared" si="4"/>
        <v>rokprognozy=2030 i lp=18</v>
      </c>
      <c r="W21" s="24" t="str">
        <f t="shared" si="4"/>
        <v>rokprognozy=2031 i lp=18</v>
      </c>
      <c r="X21" s="24" t="str">
        <f t="shared" si="4"/>
        <v>rokprognozy=2032 i lp=18</v>
      </c>
      <c r="Y21" s="24" t="str">
        <f t="shared" si="4"/>
        <v>rokprognozy=2033 i lp=18</v>
      </c>
      <c r="Z21" s="24" t="str">
        <f t="shared" si="4"/>
        <v>rokprognozy=2034 i lp=18</v>
      </c>
      <c r="AA21" s="24" t="str">
        <f t="shared" si="4"/>
        <v>rokprognozy=2035 i lp=18</v>
      </c>
      <c r="AB21" s="24" t="str">
        <f t="shared" si="4"/>
        <v>rokprognozy=2036 i lp=18</v>
      </c>
      <c r="AC21" s="24" t="str">
        <f t="shared" si="5"/>
        <v>rokprognozy=2037 i lp=18</v>
      </c>
      <c r="AD21" s="24" t="str">
        <f t="shared" si="5"/>
        <v>rokprognozy=2038 i lp=18</v>
      </c>
      <c r="AE21" s="24" t="str">
        <f t="shared" si="5"/>
        <v>rokprognozy=2039 i lp=18</v>
      </c>
      <c r="AF21" s="24" t="str">
        <f t="shared" si="5"/>
        <v>rokprognozy=2040 i lp=18</v>
      </c>
      <c r="AG21" s="24" t="str">
        <f t="shared" si="5"/>
        <v>rokprognozy=2041 i lp=18</v>
      </c>
      <c r="AH21" s="24" t="str">
        <f t="shared" si="5"/>
        <v>rokprognozy=2042 i lp=18</v>
      </c>
      <c r="AI21" s="24" t="str">
        <f t="shared" si="5"/>
        <v>rokprognozy=2043 i lp=18</v>
      </c>
      <c r="AJ21" s="24" t="str">
        <f t="shared" si="5"/>
        <v>rokprognozy=2044 i lp=18</v>
      </c>
      <c r="AK21" s="24" t="str">
        <f t="shared" si="5"/>
        <v>rokprognozy=2045 i lp=18</v>
      </c>
      <c r="AL21" s="24" t="str">
        <f t="shared" si="5"/>
        <v>rokprognozy=2046 i lp=18</v>
      </c>
      <c r="AM21" s="24" t="str">
        <f t="shared" si="5"/>
        <v>rokprognozy=2047 i lp=18</v>
      </c>
      <c r="AN21" s="24" t="str">
        <f t="shared" si="5"/>
        <v>rokprognozy=2048 i lp=18</v>
      </c>
      <c r="AO21" s="24" t="str">
        <f t="shared" si="5"/>
        <v>rokprognozy=2049 i lp=18</v>
      </c>
      <c r="AP21" s="24" t="str">
        <f t="shared" si="5"/>
        <v>rokprognozy=2050 i lp=18</v>
      </c>
    </row>
    <row r="22" spans="1:42" ht="14.25" customHeight="1">
      <c r="A22" s="8">
        <v>19</v>
      </c>
      <c r="B22" s="36">
        <v>6</v>
      </c>
      <c r="C22" s="45" t="s">
        <v>121</v>
      </c>
      <c r="D22" s="24" t="str">
        <f t="shared" si="2"/>
        <v>rokprognozy=2012 i lp=19</v>
      </c>
      <c r="E22" s="24" t="str">
        <f t="shared" si="2"/>
        <v>rokprognozy=2013 i lp=19</v>
      </c>
      <c r="F22" s="24" t="str">
        <f t="shared" si="2"/>
        <v>rokprognozy=2014 i lp=19</v>
      </c>
      <c r="G22" s="24" t="str">
        <f t="shared" si="2"/>
        <v>rokprognozy=2015 i lp=19</v>
      </c>
      <c r="H22" s="24" t="str">
        <f t="shared" si="2"/>
        <v>rokprognozy=2016 i lp=19</v>
      </c>
      <c r="I22" s="24" t="str">
        <f t="shared" si="2"/>
        <v>rokprognozy=2017 i lp=19</v>
      </c>
      <c r="J22" s="24" t="str">
        <f t="shared" si="2"/>
        <v>rokprognozy=2018 i lp=19</v>
      </c>
      <c r="K22" s="24" t="str">
        <f t="shared" si="2"/>
        <v>rokprognozy=2019 i lp=19</v>
      </c>
      <c r="L22" s="24" t="str">
        <f t="shared" si="2"/>
        <v>rokprognozy=2020 i lp=19</v>
      </c>
      <c r="M22" s="24" t="str">
        <f t="shared" si="4"/>
        <v>rokprognozy=2021 i lp=19</v>
      </c>
      <c r="N22" s="24" t="str">
        <f t="shared" si="4"/>
        <v>rokprognozy=2022 i lp=19</v>
      </c>
      <c r="O22" s="24" t="str">
        <f t="shared" si="4"/>
        <v>rokprognozy=2023 i lp=19</v>
      </c>
      <c r="P22" s="24" t="str">
        <f t="shared" si="4"/>
        <v>rokprognozy=2024 i lp=19</v>
      </c>
      <c r="Q22" s="24" t="str">
        <f t="shared" si="4"/>
        <v>rokprognozy=2025 i lp=19</v>
      </c>
      <c r="R22" s="24" t="str">
        <f t="shared" si="4"/>
        <v>rokprognozy=2026 i lp=19</v>
      </c>
      <c r="S22" s="24" t="str">
        <f t="shared" si="4"/>
        <v>rokprognozy=2027 i lp=19</v>
      </c>
      <c r="T22" s="24" t="str">
        <f t="shared" si="4"/>
        <v>rokprognozy=2028 i lp=19</v>
      </c>
      <c r="U22" s="24" t="str">
        <f t="shared" si="4"/>
        <v>rokprognozy=2029 i lp=19</v>
      </c>
      <c r="V22" s="24" t="str">
        <f t="shared" si="4"/>
        <v>rokprognozy=2030 i lp=19</v>
      </c>
      <c r="W22" s="24" t="str">
        <f t="shared" si="4"/>
        <v>rokprognozy=2031 i lp=19</v>
      </c>
      <c r="X22" s="24" t="str">
        <f t="shared" si="4"/>
        <v>rokprognozy=2032 i lp=19</v>
      </c>
      <c r="Y22" s="24" t="str">
        <f t="shared" si="4"/>
        <v>rokprognozy=2033 i lp=19</v>
      </c>
      <c r="Z22" s="24" t="str">
        <f t="shared" si="4"/>
        <v>rokprognozy=2034 i lp=19</v>
      </c>
      <c r="AA22" s="24" t="str">
        <f t="shared" si="4"/>
        <v>rokprognozy=2035 i lp=19</v>
      </c>
      <c r="AB22" s="24" t="str">
        <f t="shared" si="4"/>
        <v>rokprognozy=2036 i lp=19</v>
      </c>
      <c r="AC22" s="24" t="str">
        <f t="shared" si="5"/>
        <v>rokprognozy=2037 i lp=19</v>
      </c>
      <c r="AD22" s="24" t="str">
        <f t="shared" si="5"/>
        <v>rokprognozy=2038 i lp=19</v>
      </c>
      <c r="AE22" s="24" t="str">
        <f t="shared" si="5"/>
        <v>rokprognozy=2039 i lp=19</v>
      </c>
      <c r="AF22" s="24" t="str">
        <f t="shared" si="5"/>
        <v>rokprognozy=2040 i lp=19</v>
      </c>
      <c r="AG22" s="24" t="str">
        <f t="shared" si="5"/>
        <v>rokprognozy=2041 i lp=19</v>
      </c>
      <c r="AH22" s="24" t="str">
        <f t="shared" si="5"/>
        <v>rokprognozy=2042 i lp=19</v>
      </c>
      <c r="AI22" s="24" t="str">
        <f t="shared" si="5"/>
        <v>rokprognozy=2043 i lp=19</v>
      </c>
      <c r="AJ22" s="24" t="str">
        <f t="shared" si="5"/>
        <v>rokprognozy=2044 i lp=19</v>
      </c>
      <c r="AK22" s="24" t="str">
        <f t="shared" si="5"/>
        <v>rokprognozy=2045 i lp=19</v>
      </c>
      <c r="AL22" s="24" t="str">
        <f t="shared" si="5"/>
        <v>rokprognozy=2046 i lp=19</v>
      </c>
      <c r="AM22" s="24" t="str">
        <f t="shared" si="5"/>
        <v>rokprognozy=2047 i lp=19</v>
      </c>
      <c r="AN22" s="24" t="str">
        <f t="shared" si="5"/>
        <v>rokprognozy=2048 i lp=19</v>
      </c>
      <c r="AO22" s="24" t="str">
        <f t="shared" si="5"/>
        <v>rokprognozy=2049 i lp=19</v>
      </c>
      <c r="AP22" s="24" t="str">
        <f t="shared" si="5"/>
        <v>rokprognozy=2050 i lp=19</v>
      </c>
    </row>
    <row r="23" spans="1:42" ht="14.25" customHeight="1">
      <c r="A23" s="9">
        <v>20</v>
      </c>
      <c r="B23" s="36">
        <v>7</v>
      </c>
      <c r="C23" s="49" t="s">
        <v>12</v>
      </c>
      <c r="D23" s="24" t="str">
        <f t="shared" si="2"/>
        <v>rokprognozy=2012 i lp=20</v>
      </c>
      <c r="E23" s="24" t="str">
        <f t="shared" si="2"/>
        <v>rokprognozy=2013 i lp=20</v>
      </c>
      <c r="F23" s="24" t="str">
        <f t="shared" si="2"/>
        <v>rokprognozy=2014 i lp=20</v>
      </c>
      <c r="G23" s="24" t="str">
        <f t="shared" si="2"/>
        <v>rokprognozy=2015 i lp=20</v>
      </c>
      <c r="H23" s="24" t="str">
        <f t="shared" si="2"/>
        <v>rokprognozy=2016 i lp=20</v>
      </c>
      <c r="I23" s="24" t="str">
        <f t="shared" si="2"/>
        <v>rokprognozy=2017 i lp=20</v>
      </c>
      <c r="J23" s="24" t="str">
        <f t="shared" si="2"/>
        <v>rokprognozy=2018 i lp=20</v>
      </c>
      <c r="K23" s="24" t="str">
        <f t="shared" si="2"/>
        <v>rokprognozy=2019 i lp=20</v>
      </c>
      <c r="L23" s="24" t="str">
        <f t="shared" si="2"/>
        <v>rokprognozy=2020 i lp=20</v>
      </c>
      <c r="M23" s="24" t="str">
        <f t="shared" si="4"/>
        <v>rokprognozy=2021 i lp=20</v>
      </c>
      <c r="N23" s="24" t="str">
        <f t="shared" si="4"/>
        <v>rokprognozy=2022 i lp=20</v>
      </c>
      <c r="O23" s="24" t="str">
        <f t="shared" si="4"/>
        <v>rokprognozy=2023 i lp=20</v>
      </c>
      <c r="P23" s="24" t="str">
        <f t="shared" si="4"/>
        <v>rokprognozy=2024 i lp=20</v>
      </c>
      <c r="Q23" s="24" t="str">
        <f t="shared" si="4"/>
        <v>rokprognozy=2025 i lp=20</v>
      </c>
      <c r="R23" s="24" t="str">
        <f t="shared" si="4"/>
        <v>rokprognozy=2026 i lp=20</v>
      </c>
      <c r="S23" s="24" t="str">
        <f t="shared" si="4"/>
        <v>rokprognozy=2027 i lp=20</v>
      </c>
      <c r="T23" s="24" t="str">
        <f t="shared" si="4"/>
        <v>rokprognozy=2028 i lp=20</v>
      </c>
      <c r="U23" s="24" t="str">
        <f t="shared" si="4"/>
        <v>rokprognozy=2029 i lp=20</v>
      </c>
      <c r="V23" s="24" t="str">
        <f t="shared" si="4"/>
        <v>rokprognozy=2030 i lp=20</v>
      </c>
      <c r="W23" s="24" t="str">
        <f t="shared" si="4"/>
        <v>rokprognozy=2031 i lp=20</v>
      </c>
      <c r="X23" s="24" t="str">
        <f t="shared" si="4"/>
        <v>rokprognozy=2032 i lp=20</v>
      </c>
      <c r="Y23" s="24" t="str">
        <f t="shared" si="4"/>
        <v>rokprognozy=2033 i lp=20</v>
      </c>
      <c r="Z23" s="24" t="str">
        <f t="shared" si="4"/>
        <v>rokprognozy=2034 i lp=20</v>
      </c>
      <c r="AA23" s="24" t="str">
        <f t="shared" si="4"/>
        <v>rokprognozy=2035 i lp=20</v>
      </c>
      <c r="AB23" s="24" t="str">
        <f t="shared" si="4"/>
        <v>rokprognozy=2036 i lp=20</v>
      </c>
      <c r="AC23" s="24" t="str">
        <f t="shared" si="5"/>
        <v>rokprognozy=2037 i lp=20</v>
      </c>
      <c r="AD23" s="24" t="str">
        <f t="shared" si="5"/>
        <v>rokprognozy=2038 i lp=20</v>
      </c>
      <c r="AE23" s="24" t="str">
        <f t="shared" si="5"/>
        <v>rokprognozy=2039 i lp=20</v>
      </c>
      <c r="AF23" s="24" t="str">
        <f t="shared" si="5"/>
        <v>rokprognozy=2040 i lp=20</v>
      </c>
      <c r="AG23" s="24" t="str">
        <f t="shared" si="5"/>
        <v>rokprognozy=2041 i lp=20</v>
      </c>
      <c r="AH23" s="24" t="str">
        <f t="shared" si="5"/>
        <v>rokprognozy=2042 i lp=20</v>
      </c>
      <c r="AI23" s="24" t="str">
        <f t="shared" si="5"/>
        <v>rokprognozy=2043 i lp=20</v>
      </c>
      <c r="AJ23" s="24" t="str">
        <f t="shared" si="5"/>
        <v>rokprognozy=2044 i lp=20</v>
      </c>
      <c r="AK23" s="24" t="str">
        <f t="shared" si="5"/>
        <v>rokprognozy=2045 i lp=20</v>
      </c>
      <c r="AL23" s="24" t="str">
        <f t="shared" si="5"/>
        <v>rokprognozy=2046 i lp=20</v>
      </c>
      <c r="AM23" s="24" t="str">
        <f t="shared" si="5"/>
        <v>rokprognozy=2047 i lp=20</v>
      </c>
      <c r="AN23" s="24" t="str">
        <f t="shared" si="5"/>
        <v>rokprognozy=2048 i lp=20</v>
      </c>
      <c r="AO23" s="24" t="str">
        <f t="shared" si="5"/>
        <v>rokprognozy=2049 i lp=20</v>
      </c>
      <c r="AP23" s="24" t="str">
        <f t="shared" si="5"/>
        <v>rokprognozy=2050 i lp=20</v>
      </c>
    </row>
    <row r="24" spans="1:42" ht="14.25" customHeight="1">
      <c r="A24" s="8">
        <v>21</v>
      </c>
      <c r="B24" s="36" t="s">
        <v>122</v>
      </c>
      <c r="C24" s="45" t="s">
        <v>123</v>
      </c>
      <c r="D24" s="24" t="str">
        <f t="shared" si="2"/>
        <v>rokprognozy=2012 i lp=21</v>
      </c>
      <c r="E24" s="24" t="str">
        <f t="shared" si="2"/>
        <v>rokprognozy=2013 i lp=21</v>
      </c>
      <c r="F24" s="24" t="str">
        <f t="shared" si="2"/>
        <v>rokprognozy=2014 i lp=21</v>
      </c>
      <c r="G24" s="24" t="str">
        <f t="shared" si="2"/>
        <v>rokprognozy=2015 i lp=21</v>
      </c>
      <c r="H24" s="24" t="str">
        <f t="shared" si="2"/>
        <v>rokprognozy=2016 i lp=21</v>
      </c>
      <c r="I24" s="24" t="str">
        <f t="shared" si="2"/>
        <v>rokprognozy=2017 i lp=21</v>
      </c>
      <c r="J24" s="24" t="str">
        <f t="shared" si="2"/>
        <v>rokprognozy=2018 i lp=21</v>
      </c>
      <c r="K24" s="24" t="str">
        <f t="shared" si="2"/>
        <v>rokprognozy=2019 i lp=21</v>
      </c>
      <c r="L24" s="24" t="str">
        <f t="shared" si="2"/>
        <v>rokprognozy=2020 i lp=21</v>
      </c>
      <c r="M24" s="24" t="str">
        <f t="shared" si="4"/>
        <v>rokprognozy=2021 i lp=21</v>
      </c>
      <c r="N24" s="24" t="str">
        <f t="shared" si="4"/>
        <v>rokprognozy=2022 i lp=21</v>
      </c>
      <c r="O24" s="24" t="str">
        <f t="shared" si="4"/>
        <v>rokprognozy=2023 i lp=21</v>
      </c>
      <c r="P24" s="24" t="str">
        <f t="shared" si="4"/>
        <v>rokprognozy=2024 i lp=21</v>
      </c>
      <c r="Q24" s="24" t="str">
        <f t="shared" si="4"/>
        <v>rokprognozy=2025 i lp=21</v>
      </c>
      <c r="R24" s="24" t="str">
        <f t="shared" si="4"/>
        <v>rokprognozy=2026 i lp=21</v>
      </c>
      <c r="S24" s="24" t="str">
        <f t="shared" si="4"/>
        <v>rokprognozy=2027 i lp=21</v>
      </c>
      <c r="T24" s="24" t="str">
        <f t="shared" si="4"/>
        <v>rokprognozy=2028 i lp=21</v>
      </c>
      <c r="U24" s="24" t="str">
        <f t="shared" si="4"/>
        <v>rokprognozy=2029 i lp=21</v>
      </c>
      <c r="V24" s="24" t="str">
        <f t="shared" si="4"/>
        <v>rokprognozy=2030 i lp=21</v>
      </c>
      <c r="W24" s="24" t="str">
        <f t="shared" si="4"/>
        <v>rokprognozy=2031 i lp=21</v>
      </c>
      <c r="X24" s="24" t="str">
        <f t="shared" si="4"/>
        <v>rokprognozy=2032 i lp=21</v>
      </c>
      <c r="Y24" s="24" t="str">
        <f t="shared" si="4"/>
        <v>rokprognozy=2033 i lp=21</v>
      </c>
      <c r="Z24" s="24" t="str">
        <f t="shared" si="4"/>
        <v>rokprognozy=2034 i lp=21</v>
      </c>
      <c r="AA24" s="24" t="str">
        <f t="shared" si="4"/>
        <v>rokprognozy=2035 i lp=21</v>
      </c>
      <c r="AB24" s="24" t="str">
        <f t="shared" si="4"/>
        <v>rokprognozy=2036 i lp=21</v>
      </c>
      <c r="AC24" s="24" t="str">
        <f t="shared" si="5"/>
        <v>rokprognozy=2037 i lp=21</v>
      </c>
      <c r="AD24" s="24" t="str">
        <f t="shared" si="5"/>
        <v>rokprognozy=2038 i lp=21</v>
      </c>
      <c r="AE24" s="24" t="str">
        <f t="shared" si="5"/>
        <v>rokprognozy=2039 i lp=21</v>
      </c>
      <c r="AF24" s="24" t="str">
        <f t="shared" si="5"/>
        <v>rokprognozy=2040 i lp=21</v>
      </c>
      <c r="AG24" s="24" t="str">
        <f t="shared" si="5"/>
        <v>rokprognozy=2041 i lp=21</v>
      </c>
      <c r="AH24" s="24" t="str">
        <f t="shared" si="5"/>
        <v>rokprognozy=2042 i lp=21</v>
      </c>
      <c r="AI24" s="24" t="str">
        <f t="shared" si="5"/>
        <v>rokprognozy=2043 i lp=21</v>
      </c>
      <c r="AJ24" s="24" t="str">
        <f t="shared" si="5"/>
        <v>rokprognozy=2044 i lp=21</v>
      </c>
      <c r="AK24" s="24" t="str">
        <f t="shared" si="5"/>
        <v>rokprognozy=2045 i lp=21</v>
      </c>
      <c r="AL24" s="24" t="str">
        <f t="shared" si="5"/>
        <v>rokprognozy=2046 i lp=21</v>
      </c>
      <c r="AM24" s="24" t="str">
        <f t="shared" si="5"/>
        <v>rokprognozy=2047 i lp=21</v>
      </c>
      <c r="AN24" s="24" t="str">
        <f t="shared" si="5"/>
        <v>rokprognozy=2048 i lp=21</v>
      </c>
      <c r="AO24" s="24" t="str">
        <f t="shared" si="5"/>
        <v>rokprognozy=2049 i lp=21</v>
      </c>
      <c r="AP24" s="24" t="str">
        <f t="shared" si="5"/>
        <v>rokprognozy=2050 i lp=21</v>
      </c>
    </row>
    <row r="25" spans="1:42" ht="14.25" customHeight="1">
      <c r="A25" s="7">
        <v>22</v>
      </c>
      <c r="B25" s="36" t="s">
        <v>124</v>
      </c>
      <c r="C25" s="2" t="s">
        <v>125</v>
      </c>
      <c r="D25" s="24" t="str">
        <f t="shared" si="2"/>
        <v>rokprognozy=2012 i lp=22</v>
      </c>
      <c r="E25" s="24" t="str">
        <f t="shared" si="2"/>
        <v>rokprognozy=2013 i lp=22</v>
      </c>
      <c r="F25" s="24" t="str">
        <f t="shared" si="2"/>
        <v>rokprognozy=2014 i lp=22</v>
      </c>
      <c r="G25" s="24" t="str">
        <f t="shared" si="2"/>
        <v>rokprognozy=2015 i lp=22</v>
      </c>
      <c r="H25" s="24" t="str">
        <f t="shared" si="2"/>
        <v>rokprognozy=2016 i lp=22</v>
      </c>
      <c r="I25" s="24" t="str">
        <f t="shared" si="2"/>
        <v>rokprognozy=2017 i lp=22</v>
      </c>
      <c r="J25" s="24" t="str">
        <f t="shared" si="2"/>
        <v>rokprognozy=2018 i lp=22</v>
      </c>
      <c r="K25" s="24" t="str">
        <f t="shared" si="2"/>
        <v>rokprognozy=2019 i lp=22</v>
      </c>
      <c r="L25" s="24" t="str">
        <f t="shared" si="2"/>
        <v>rokprognozy=2020 i lp=22</v>
      </c>
      <c r="M25" s="24" t="str">
        <f t="shared" si="4"/>
        <v>rokprognozy=2021 i lp=22</v>
      </c>
      <c r="N25" s="24" t="str">
        <f t="shared" si="4"/>
        <v>rokprognozy=2022 i lp=22</v>
      </c>
      <c r="O25" s="24" t="str">
        <f t="shared" si="4"/>
        <v>rokprognozy=2023 i lp=22</v>
      </c>
      <c r="P25" s="24" t="str">
        <f t="shared" si="4"/>
        <v>rokprognozy=2024 i lp=22</v>
      </c>
      <c r="Q25" s="24" t="str">
        <f t="shared" si="4"/>
        <v>rokprognozy=2025 i lp=22</v>
      </c>
      <c r="R25" s="24" t="str">
        <f t="shared" si="4"/>
        <v>rokprognozy=2026 i lp=22</v>
      </c>
      <c r="S25" s="24" t="str">
        <f t="shared" si="4"/>
        <v>rokprognozy=2027 i lp=22</v>
      </c>
      <c r="T25" s="24" t="str">
        <f t="shared" si="4"/>
        <v>rokprognozy=2028 i lp=22</v>
      </c>
      <c r="U25" s="24" t="str">
        <f t="shared" si="4"/>
        <v>rokprognozy=2029 i lp=22</v>
      </c>
      <c r="V25" s="24" t="str">
        <f t="shared" si="4"/>
        <v>rokprognozy=2030 i lp=22</v>
      </c>
      <c r="W25" s="24" t="str">
        <f t="shared" si="4"/>
        <v>rokprognozy=2031 i lp=22</v>
      </c>
      <c r="X25" s="24" t="str">
        <f t="shared" si="4"/>
        <v>rokprognozy=2032 i lp=22</v>
      </c>
      <c r="Y25" s="24" t="str">
        <f t="shared" si="4"/>
        <v>rokprognozy=2033 i lp=22</v>
      </c>
      <c r="Z25" s="24" t="str">
        <f t="shared" si="4"/>
        <v>rokprognozy=2034 i lp=22</v>
      </c>
      <c r="AA25" s="24" t="str">
        <f t="shared" si="4"/>
        <v>rokprognozy=2035 i lp=22</v>
      </c>
      <c r="AB25" s="24" t="str">
        <f t="shared" si="4"/>
        <v>rokprognozy=2036 i lp=22</v>
      </c>
      <c r="AC25" s="24" t="str">
        <f t="shared" si="5"/>
        <v>rokprognozy=2037 i lp=22</v>
      </c>
      <c r="AD25" s="24" t="str">
        <f t="shared" si="5"/>
        <v>rokprognozy=2038 i lp=22</v>
      </c>
      <c r="AE25" s="24" t="str">
        <f t="shared" si="5"/>
        <v>rokprognozy=2039 i lp=22</v>
      </c>
      <c r="AF25" s="24" t="str">
        <f t="shared" si="5"/>
        <v>rokprognozy=2040 i lp=22</v>
      </c>
      <c r="AG25" s="24" t="str">
        <f t="shared" si="5"/>
        <v>rokprognozy=2041 i lp=22</v>
      </c>
      <c r="AH25" s="24" t="str">
        <f t="shared" si="5"/>
        <v>rokprognozy=2042 i lp=22</v>
      </c>
      <c r="AI25" s="24" t="str">
        <f t="shared" si="5"/>
        <v>rokprognozy=2043 i lp=22</v>
      </c>
      <c r="AJ25" s="24" t="str">
        <f t="shared" si="5"/>
        <v>rokprognozy=2044 i lp=22</v>
      </c>
      <c r="AK25" s="24" t="str">
        <f t="shared" si="5"/>
        <v>rokprognozy=2045 i lp=22</v>
      </c>
      <c r="AL25" s="24" t="str">
        <f t="shared" si="5"/>
        <v>rokprognozy=2046 i lp=22</v>
      </c>
      <c r="AM25" s="24" t="str">
        <f t="shared" si="5"/>
        <v>rokprognozy=2047 i lp=22</v>
      </c>
      <c r="AN25" s="24" t="str">
        <f t="shared" si="5"/>
        <v>rokprognozy=2048 i lp=22</v>
      </c>
      <c r="AO25" s="24" t="str">
        <f t="shared" si="5"/>
        <v>rokprognozy=2049 i lp=22</v>
      </c>
      <c r="AP25" s="24" t="str">
        <f t="shared" si="5"/>
        <v>rokprognozy=2050 i lp=22</v>
      </c>
    </row>
    <row r="26" spans="1:42" ht="14.25" customHeight="1">
      <c r="A26" s="8">
        <v>23</v>
      </c>
      <c r="B26" s="36" t="s">
        <v>126</v>
      </c>
      <c r="C26" s="45" t="s">
        <v>127</v>
      </c>
      <c r="D26" s="24" t="str">
        <f t="shared" si="2"/>
        <v>rokprognozy=2012 i lp=23</v>
      </c>
      <c r="E26" s="24" t="str">
        <f t="shared" si="2"/>
        <v>rokprognozy=2013 i lp=23</v>
      </c>
      <c r="F26" s="24" t="str">
        <f t="shared" si="2"/>
        <v>rokprognozy=2014 i lp=23</v>
      </c>
      <c r="G26" s="24" t="str">
        <f t="shared" si="2"/>
        <v>rokprognozy=2015 i lp=23</v>
      </c>
      <c r="H26" s="24" t="str">
        <f t="shared" si="2"/>
        <v>rokprognozy=2016 i lp=23</v>
      </c>
      <c r="I26" s="24" t="str">
        <f t="shared" si="2"/>
        <v>rokprognozy=2017 i lp=23</v>
      </c>
      <c r="J26" s="24" t="str">
        <f t="shared" si="2"/>
        <v>rokprognozy=2018 i lp=23</v>
      </c>
      <c r="K26" s="24" t="str">
        <f t="shared" si="2"/>
        <v>rokprognozy=2019 i lp=23</v>
      </c>
      <c r="L26" s="24" t="str">
        <f t="shared" si="2"/>
        <v>rokprognozy=2020 i lp=23</v>
      </c>
      <c r="M26" s="24" t="str">
        <f t="shared" si="4"/>
        <v>rokprognozy=2021 i lp=23</v>
      </c>
      <c r="N26" s="24" t="str">
        <f t="shared" si="4"/>
        <v>rokprognozy=2022 i lp=23</v>
      </c>
      <c r="O26" s="24" t="str">
        <f t="shared" si="4"/>
        <v>rokprognozy=2023 i lp=23</v>
      </c>
      <c r="P26" s="24" t="str">
        <f t="shared" si="4"/>
        <v>rokprognozy=2024 i lp=23</v>
      </c>
      <c r="Q26" s="24" t="str">
        <f t="shared" si="4"/>
        <v>rokprognozy=2025 i lp=23</v>
      </c>
      <c r="R26" s="24" t="str">
        <f t="shared" si="4"/>
        <v>rokprognozy=2026 i lp=23</v>
      </c>
      <c r="S26" s="24" t="str">
        <f t="shared" si="4"/>
        <v>rokprognozy=2027 i lp=23</v>
      </c>
      <c r="T26" s="24" t="str">
        <f t="shared" si="4"/>
        <v>rokprognozy=2028 i lp=23</v>
      </c>
      <c r="U26" s="24" t="str">
        <f t="shared" si="4"/>
        <v>rokprognozy=2029 i lp=23</v>
      </c>
      <c r="V26" s="24" t="str">
        <f t="shared" si="4"/>
        <v>rokprognozy=2030 i lp=23</v>
      </c>
      <c r="W26" s="24" t="str">
        <f t="shared" si="4"/>
        <v>rokprognozy=2031 i lp=23</v>
      </c>
      <c r="X26" s="24" t="str">
        <f t="shared" si="4"/>
        <v>rokprognozy=2032 i lp=23</v>
      </c>
      <c r="Y26" s="24" t="str">
        <f t="shared" si="4"/>
        <v>rokprognozy=2033 i lp=23</v>
      </c>
      <c r="Z26" s="24" t="str">
        <f t="shared" si="4"/>
        <v>rokprognozy=2034 i lp=23</v>
      </c>
      <c r="AA26" s="24" t="str">
        <f t="shared" si="4"/>
        <v>rokprognozy=2035 i lp=23</v>
      </c>
      <c r="AB26" s="24" t="str">
        <f t="shared" si="4"/>
        <v>rokprognozy=2036 i lp=23</v>
      </c>
      <c r="AC26" s="24" t="str">
        <f t="shared" si="5"/>
        <v>rokprognozy=2037 i lp=23</v>
      </c>
      <c r="AD26" s="24" t="str">
        <f t="shared" si="5"/>
        <v>rokprognozy=2038 i lp=23</v>
      </c>
      <c r="AE26" s="24" t="str">
        <f t="shared" si="5"/>
        <v>rokprognozy=2039 i lp=23</v>
      </c>
      <c r="AF26" s="24" t="str">
        <f t="shared" si="5"/>
        <v>rokprognozy=2040 i lp=23</v>
      </c>
      <c r="AG26" s="24" t="str">
        <f t="shared" si="5"/>
        <v>rokprognozy=2041 i lp=23</v>
      </c>
      <c r="AH26" s="24" t="str">
        <f t="shared" si="5"/>
        <v>rokprognozy=2042 i lp=23</v>
      </c>
      <c r="AI26" s="24" t="str">
        <f t="shared" si="5"/>
        <v>rokprognozy=2043 i lp=23</v>
      </c>
      <c r="AJ26" s="24" t="str">
        <f t="shared" si="5"/>
        <v>rokprognozy=2044 i lp=23</v>
      </c>
      <c r="AK26" s="24" t="str">
        <f t="shared" si="5"/>
        <v>rokprognozy=2045 i lp=23</v>
      </c>
      <c r="AL26" s="24" t="str">
        <f t="shared" si="5"/>
        <v>rokprognozy=2046 i lp=23</v>
      </c>
      <c r="AM26" s="24" t="str">
        <f t="shared" si="5"/>
        <v>rokprognozy=2047 i lp=23</v>
      </c>
      <c r="AN26" s="24" t="str">
        <f t="shared" si="5"/>
        <v>rokprognozy=2048 i lp=23</v>
      </c>
      <c r="AO26" s="24" t="str">
        <f t="shared" si="5"/>
        <v>rokprognozy=2049 i lp=23</v>
      </c>
      <c r="AP26" s="24" t="str">
        <f t="shared" si="5"/>
        <v>rokprognozy=2050 i lp=23</v>
      </c>
    </row>
    <row r="27" spans="1:42" ht="15" customHeight="1" thickBot="1">
      <c r="A27" s="10">
        <v>24</v>
      </c>
      <c r="B27" s="36" t="s">
        <v>128</v>
      </c>
      <c r="C27" s="50" t="s">
        <v>129</v>
      </c>
      <c r="D27" s="24" t="str">
        <f t="shared" si="2"/>
        <v>rokprognozy=2012 i lp=24</v>
      </c>
      <c r="E27" s="24" t="str">
        <f t="shared" si="2"/>
        <v>rokprognozy=2013 i lp=24</v>
      </c>
      <c r="F27" s="24" t="str">
        <f t="shared" si="2"/>
        <v>rokprognozy=2014 i lp=24</v>
      </c>
      <c r="G27" s="24" t="str">
        <f t="shared" si="2"/>
        <v>rokprognozy=2015 i lp=24</v>
      </c>
      <c r="H27" s="24" t="str">
        <f t="shared" si="2"/>
        <v>rokprognozy=2016 i lp=24</v>
      </c>
      <c r="I27" s="24" t="str">
        <f t="shared" si="2"/>
        <v>rokprognozy=2017 i lp=24</v>
      </c>
      <c r="J27" s="24" t="str">
        <f t="shared" si="2"/>
        <v>rokprognozy=2018 i lp=24</v>
      </c>
      <c r="K27" s="24" t="str">
        <f t="shared" si="2"/>
        <v>rokprognozy=2019 i lp=24</v>
      </c>
      <c r="L27" s="24" t="str">
        <f t="shared" si="2"/>
        <v>rokprognozy=2020 i lp=24</v>
      </c>
      <c r="M27" s="24" t="str">
        <f t="shared" si="4"/>
        <v>rokprognozy=2021 i lp=24</v>
      </c>
      <c r="N27" s="24" t="str">
        <f t="shared" si="4"/>
        <v>rokprognozy=2022 i lp=24</v>
      </c>
      <c r="O27" s="24" t="str">
        <f t="shared" si="4"/>
        <v>rokprognozy=2023 i lp=24</v>
      </c>
      <c r="P27" s="24" t="str">
        <f t="shared" si="4"/>
        <v>rokprognozy=2024 i lp=24</v>
      </c>
      <c r="Q27" s="24" t="str">
        <f t="shared" si="4"/>
        <v>rokprognozy=2025 i lp=24</v>
      </c>
      <c r="R27" s="24" t="str">
        <f t="shared" si="4"/>
        <v>rokprognozy=2026 i lp=24</v>
      </c>
      <c r="S27" s="24" t="str">
        <f t="shared" si="4"/>
        <v>rokprognozy=2027 i lp=24</v>
      </c>
      <c r="T27" s="24" t="str">
        <f t="shared" si="4"/>
        <v>rokprognozy=2028 i lp=24</v>
      </c>
      <c r="U27" s="24" t="str">
        <f t="shared" si="4"/>
        <v>rokprognozy=2029 i lp=24</v>
      </c>
      <c r="V27" s="24" t="str">
        <f t="shared" si="4"/>
        <v>rokprognozy=2030 i lp=24</v>
      </c>
      <c r="W27" s="24" t="str">
        <f t="shared" si="4"/>
        <v>rokprognozy=2031 i lp=24</v>
      </c>
      <c r="X27" s="24" t="str">
        <f t="shared" si="4"/>
        <v>rokprognozy=2032 i lp=24</v>
      </c>
      <c r="Y27" s="24" t="str">
        <f t="shared" si="4"/>
        <v>rokprognozy=2033 i lp=24</v>
      </c>
      <c r="Z27" s="24" t="str">
        <f t="shared" si="4"/>
        <v>rokprognozy=2034 i lp=24</v>
      </c>
      <c r="AA27" s="24" t="str">
        <f t="shared" si="4"/>
        <v>rokprognozy=2035 i lp=24</v>
      </c>
      <c r="AB27" s="24" t="str">
        <f t="shared" si="4"/>
        <v>rokprognozy=2036 i lp=24</v>
      </c>
      <c r="AC27" s="24" t="str">
        <f t="shared" si="5"/>
        <v>rokprognozy=2037 i lp=24</v>
      </c>
      <c r="AD27" s="24" t="str">
        <f t="shared" si="5"/>
        <v>rokprognozy=2038 i lp=24</v>
      </c>
      <c r="AE27" s="24" t="str">
        <f t="shared" si="5"/>
        <v>rokprognozy=2039 i lp=24</v>
      </c>
      <c r="AF27" s="24" t="str">
        <f t="shared" si="5"/>
        <v>rokprognozy=2040 i lp=24</v>
      </c>
      <c r="AG27" s="24" t="str">
        <f t="shared" si="5"/>
        <v>rokprognozy=2041 i lp=24</v>
      </c>
      <c r="AH27" s="24" t="str">
        <f t="shared" si="5"/>
        <v>rokprognozy=2042 i lp=24</v>
      </c>
      <c r="AI27" s="24" t="str">
        <f t="shared" si="5"/>
        <v>rokprognozy=2043 i lp=24</v>
      </c>
      <c r="AJ27" s="24" t="str">
        <f t="shared" si="5"/>
        <v>rokprognozy=2044 i lp=24</v>
      </c>
      <c r="AK27" s="24" t="str">
        <f t="shared" si="5"/>
        <v>rokprognozy=2045 i lp=24</v>
      </c>
      <c r="AL27" s="24" t="str">
        <f t="shared" si="5"/>
        <v>rokprognozy=2046 i lp=24</v>
      </c>
      <c r="AM27" s="24" t="str">
        <f t="shared" si="5"/>
        <v>rokprognozy=2047 i lp=24</v>
      </c>
      <c r="AN27" s="24" t="str">
        <f t="shared" si="5"/>
        <v>rokprognozy=2048 i lp=24</v>
      </c>
      <c r="AO27" s="24" t="str">
        <f t="shared" si="5"/>
        <v>rokprognozy=2049 i lp=24</v>
      </c>
      <c r="AP27" s="24" t="str">
        <f t="shared" si="5"/>
        <v>rokprognozy=2050 i lp=24</v>
      </c>
    </row>
    <row r="28" spans="1:42" ht="14.25" customHeight="1">
      <c r="A28" s="11">
        <v>25</v>
      </c>
      <c r="B28" s="36">
        <v>8</v>
      </c>
      <c r="C28" s="51" t="s">
        <v>130</v>
      </c>
      <c r="D28" s="24" t="str">
        <f t="shared" si="2"/>
        <v>rokprognozy=2012 i lp=25</v>
      </c>
      <c r="E28" s="24" t="str">
        <f t="shared" si="2"/>
        <v>rokprognozy=2013 i lp=25</v>
      </c>
      <c r="F28" s="24" t="str">
        <f t="shared" si="2"/>
        <v>rokprognozy=2014 i lp=25</v>
      </c>
      <c r="G28" s="24" t="str">
        <f t="shared" si="2"/>
        <v>rokprognozy=2015 i lp=25</v>
      </c>
      <c r="H28" s="24" t="str">
        <f t="shared" si="2"/>
        <v>rokprognozy=2016 i lp=25</v>
      </c>
      <c r="I28" s="24" t="str">
        <f t="shared" si="2"/>
        <v>rokprognozy=2017 i lp=25</v>
      </c>
      <c r="J28" s="24" t="str">
        <f t="shared" si="2"/>
        <v>rokprognozy=2018 i lp=25</v>
      </c>
      <c r="K28" s="24" t="str">
        <f t="shared" si="2"/>
        <v>rokprognozy=2019 i lp=25</v>
      </c>
      <c r="L28" s="24" t="str">
        <f t="shared" si="2"/>
        <v>rokprognozy=2020 i lp=25</v>
      </c>
      <c r="M28" s="24" t="str">
        <f t="shared" si="4"/>
        <v>rokprognozy=2021 i lp=25</v>
      </c>
      <c r="N28" s="24" t="str">
        <f t="shared" si="4"/>
        <v>rokprognozy=2022 i lp=25</v>
      </c>
      <c r="O28" s="24" t="str">
        <f t="shared" si="4"/>
        <v>rokprognozy=2023 i lp=25</v>
      </c>
      <c r="P28" s="24" t="str">
        <f t="shared" si="4"/>
        <v>rokprognozy=2024 i lp=25</v>
      </c>
      <c r="Q28" s="24" t="str">
        <f t="shared" si="4"/>
        <v>rokprognozy=2025 i lp=25</v>
      </c>
      <c r="R28" s="24" t="str">
        <f t="shared" si="4"/>
        <v>rokprognozy=2026 i lp=25</v>
      </c>
      <c r="S28" s="24" t="str">
        <f t="shared" si="4"/>
        <v>rokprognozy=2027 i lp=25</v>
      </c>
      <c r="T28" s="24" t="str">
        <f t="shared" si="4"/>
        <v>rokprognozy=2028 i lp=25</v>
      </c>
      <c r="U28" s="24" t="str">
        <f t="shared" si="4"/>
        <v>rokprognozy=2029 i lp=25</v>
      </c>
      <c r="V28" s="24" t="str">
        <f t="shared" si="4"/>
        <v>rokprognozy=2030 i lp=25</v>
      </c>
      <c r="W28" s="24" t="str">
        <f t="shared" si="4"/>
        <v>rokprognozy=2031 i lp=25</v>
      </c>
      <c r="X28" s="24" t="str">
        <f t="shared" si="4"/>
        <v>rokprognozy=2032 i lp=25</v>
      </c>
      <c r="Y28" s="24" t="str">
        <f t="shared" si="4"/>
        <v>rokprognozy=2033 i lp=25</v>
      </c>
      <c r="Z28" s="24" t="str">
        <f t="shared" si="4"/>
        <v>rokprognozy=2034 i lp=25</v>
      </c>
      <c r="AA28" s="24" t="str">
        <f t="shared" si="4"/>
        <v>rokprognozy=2035 i lp=25</v>
      </c>
      <c r="AB28" s="24" t="str">
        <f t="shared" si="4"/>
        <v>rokprognozy=2036 i lp=25</v>
      </c>
      <c r="AC28" s="24" t="str">
        <f t="shared" si="5"/>
        <v>rokprognozy=2037 i lp=25</v>
      </c>
      <c r="AD28" s="24" t="str">
        <f t="shared" si="5"/>
        <v>rokprognozy=2038 i lp=25</v>
      </c>
      <c r="AE28" s="24" t="str">
        <f t="shared" si="5"/>
        <v>rokprognozy=2039 i lp=25</v>
      </c>
      <c r="AF28" s="24" t="str">
        <f t="shared" si="5"/>
        <v>rokprognozy=2040 i lp=25</v>
      </c>
      <c r="AG28" s="24" t="str">
        <f t="shared" si="5"/>
        <v>rokprognozy=2041 i lp=25</v>
      </c>
      <c r="AH28" s="24" t="str">
        <f t="shared" si="5"/>
        <v>rokprognozy=2042 i lp=25</v>
      </c>
      <c r="AI28" s="24" t="str">
        <f t="shared" si="5"/>
        <v>rokprognozy=2043 i lp=25</v>
      </c>
      <c r="AJ28" s="24" t="str">
        <f t="shared" si="5"/>
        <v>rokprognozy=2044 i lp=25</v>
      </c>
      <c r="AK28" s="24" t="str">
        <f t="shared" si="5"/>
        <v>rokprognozy=2045 i lp=25</v>
      </c>
      <c r="AL28" s="24" t="str">
        <f t="shared" si="5"/>
        <v>rokprognozy=2046 i lp=25</v>
      </c>
      <c r="AM28" s="24" t="str">
        <f t="shared" si="5"/>
        <v>rokprognozy=2047 i lp=25</v>
      </c>
      <c r="AN28" s="24" t="str">
        <f t="shared" si="5"/>
        <v>rokprognozy=2048 i lp=25</v>
      </c>
      <c r="AO28" s="24" t="str">
        <f t="shared" si="5"/>
        <v>rokprognozy=2049 i lp=25</v>
      </c>
      <c r="AP28" s="24" t="str">
        <f t="shared" si="5"/>
        <v>rokprognozy=2050 i lp=25</v>
      </c>
    </row>
    <row r="29" spans="1:42" ht="14.25" customHeight="1">
      <c r="A29" s="7">
        <v>26</v>
      </c>
      <c r="B29" s="36">
        <v>9</v>
      </c>
      <c r="C29" s="2" t="s">
        <v>131</v>
      </c>
      <c r="D29" s="24" t="str">
        <f t="shared" si="2"/>
        <v>rokprognozy=2012 i lp=26</v>
      </c>
      <c r="E29" s="24" t="str">
        <f t="shared" si="2"/>
        <v>rokprognozy=2013 i lp=26</v>
      </c>
      <c r="F29" s="24" t="str">
        <f t="shared" si="2"/>
        <v>rokprognozy=2014 i lp=26</v>
      </c>
      <c r="G29" s="24" t="str">
        <f t="shared" si="2"/>
        <v>rokprognozy=2015 i lp=26</v>
      </c>
      <c r="H29" s="24" t="str">
        <f t="shared" si="2"/>
        <v>rokprognozy=2016 i lp=26</v>
      </c>
      <c r="I29" s="24" t="str">
        <f t="shared" si="2"/>
        <v>rokprognozy=2017 i lp=26</v>
      </c>
      <c r="J29" s="24" t="str">
        <f t="shared" si="2"/>
        <v>rokprognozy=2018 i lp=26</v>
      </c>
      <c r="K29" s="24" t="str">
        <f t="shared" si="2"/>
        <v>rokprognozy=2019 i lp=26</v>
      </c>
      <c r="L29" s="24" t="str">
        <f t="shared" si="2"/>
        <v>rokprognozy=2020 i lp=26</v>
      </c>
      <c r="M29" s="24" t="str">
        <f t="shared" si="4"/>
        <v>rokprognozy=2021 i lp=26</v>
      </c>
      <c r="N29" s="24" t="str">
        <f t="shared" si="4"/>
        <v>rokprognozy=2022 i lp=26</v>
      </c>
      <c r="O29" s="24" t="str">
        <f t="shared" si="4"/>
        <v>rokprognozy=2023 i lp=26</v>
      </c>
      <c r="P29" s="24" t="str">
        <f t="shared" si="4"/>
        <v>rokprognozy=2024 i lp=26</v>
      </c>
      <c r="Q29" s="24" t="str">
        <f t="shared" si="4"/>
        <v>rokprognozy=2025 i lp=26</v>
      </c>
      <c r="R29" s="24" t="str">
        <f t="shared" si="4"/>
        <v>rokprognozy=2026 i lp=26</v>
      </c>
      <c r="S29" s="24" t="str">
        <f t="shared" si="4"/>
        <v>rokprognozy=2027 i lp=26</v>
      </c>
      <c r="T29" s="24" t="str">
        <f t="shared" si="4"/>
        <v>rokprognozy=2028 i lp=26</v>
      </c>
      <c r="U29" s="24" t="str">
        <f t="shared" si="4"/>
        <v>rokprognozy=2029 i lp=26</v>
      </c>
      <c r="V29" s="24" t="str">
        <f t="shared" si="4"/>
        <v>rokprognozy=2030 i lp=26</v>
      </c>
      <c r="W29" s="24" t="str">
        <f t="shared" si="4"/>
        <v>rokprognozy=2031 i lp=26</v>
      </c>
      <c r="X29" s="24" t="str">
        <f t="shared" si="4"/>
        <v>rokprognozy=2032 i lp=26</v>
      </c>
      <c r="Y29" s="24" t="str">
        <f t="shared" si="4"/>
        <v>rokprognozy=2033 i lp=26</v>
      </c>
      <c r="Z29" s="24" t="str">
        <f t="shared" si="4"/>
        <v>rokprognozy=2034 i lp=26</v>
      </c>
      <c r="AA29" s="24" t="str">
        <f t="shared" si="4"/>
        <v>rokprognozy=2035 i lp=26</v>
      </c>
      <c r="AB29" s="24" t="str">
        <f t="shared" si="4"/>
        <v>rokprognozy=2036 i lp=26</v>
      </c>
      <c r="AC29" s="24" t="str">
        <f t="shared" si="5"/>
        <v>rokprognozy=2037 i lp=26</v>
      </c>
      <c r="AD29" s="24" t="str">
        <f t="shared" si="5"/>
        <v>rokprognozy=2038 i lp=26</v>
      </c>
      <c r="AE29" s="24" t="str">
        <f t="shared" si="5"/>
        <v>rokprognozy=2039 i lp=26</v>
      </c>
      <c r="AF29" s="24" t="str">
        <f t="shared" si="5"/>
        <v>rokprognozy=2040 i lp=26</v>
      </c>
      <c r="AG29" s="24" t="str">
        <f t="shared" si="5"/>
        <v>rokprognozy=2041 i lp=26</v>
      </c>
      <c r="AH29" s="24" t="str">
        <f t="shared" si="5"/>
        <v>rokprognozy=2042 i lp=26</v>
      </c>
      <c r="AI29" s="24" t="str">
        <f t="shared" si="5"/>
        <v>rokprognozy=2043 i lp=26</v>
      </c>
      <c r="AJ29" s="24" t="str">
        <f t="shared" si="5"/>
        <v>rokprognozy=2044 i lp=26</v>
      </c>
      <c r="AK29" s="24" t="str">
        <f t="shared" si="5"/>
        <v>rokprognozy=2045 i lp=26</v>
      </c>
      <c r="AL29" s="24" t="str">
        <f t="shared" si="5"/>
        <v>rokprognozy=2046 i lp=26</v>
      </c>
      <c r="AM29" s="24" t="str">
        <f t="shared" si="5"/>
        <v>rokprognozy=2047 i lp=26</v>
      </c>
      <c r="AN29" s="24" t="str">
        <f t="shared" si="5"/>
        <v>rokprognozy=2048 i lp=26</v>
      </c>
      <c r="AO29" s="24" t="str">
        <f t="shared" si="5"/>
        <v>rokprognozy=2049 i lp=26</v>
      </c>
      <c r="AP29" s="24" t="str">
        <f t="shared" si="5"/>
        <v>rokprognozy=2050 i lp=26</v>
      </c>
    </row>
    <row r="30" spans="1:42" ht="14.25" customHeight="1">
      <c r="A30" s="7">
        <v>27</v>
      </c>
      <c r="B30" s="36">
        <v>10</v>
      </c>
      <c r="C30" s="2" t="s">
        <v>18</v>
      </c>
      <c r="D30" s="24" t="str">
        <f t="shared" si="2"/>
        <v>rokprognozy=2012 i lp=27</v>
      </c>
      <c r="E30" s="24" t="str">
        <f t="shared" si="2"/>
        <v>rokprognozy=2013 i lp=27</v>
      </c>
      <c r="F30" s="24" t="str">
        <f t="shared" si="2"/>
        <v>rokprognozy=2014 i lp=27</v>
      </c>
      <c r="G30" s="24" t="str">
        <f t="shared" ref="D30:S45" si="6">+"rokprognozy="&amp;G$3&amp;" i lp="&amp;$A30</f>
        <v>rokprognozy=2015 i lp=27</v>
      </c>
      <c r="H30" s="24" t="str">
        <f t="shared" si="6"/>
        <v>rokprognozy=2016 i lp=27</v>
      </c>
      <c r="I30" s="24" t="str">
        <f t="shared" si="6"/>
        <v>rokprognozy=2017 i lp=27</v>
      </c>
      <c r="J30" s="24" t="str">
        <f t="shared" si="6"/>
        <v>rokprognozy=2018 i lp=27</v>
      </c>
      <c r="K30" s="24" t="str">
        <f t="shared" si="6"/>
        <v>rokprognozy=2019 i lp=27</v>
      </c>
      <c r="L30" s="24" t="str">
        <f t="shared" si="6"/>
        <v>rokprognozy=2020 i lp=27</v>
      </c>
      <c r="M30" s="24" t="str">
        <f t="shared" si="4"/>
        <v>rokprognozy=2021 i lp=27</v>
      </c>
      <c r="N30" s="24" t="str">
        <f t="shared" si="4"/>
        <v>rokprognozy=2022 i lp=27</v>
      </c>
      <c r="O30" s="24" t="str">
        <f t="shared" si="4"/>
        <v>rokprognozy=2023 i lp=27</v>
      </c>
      <c r="P30" s="24" t="str">
        <f t="shared" si="4"/>
        <v>rokprognozy=2024 i lp=27</v>
      </c>
      <c r="Q30" s="24" t="str">
        <f t="shared" si="4"/>
        <v>rokprognozy=2025 i lp=27</v>
      </c>
      <c r="R30" s="24" t="str">
        <f t="shared" si="4"/>
        <v>rokprognozy=2026 i lp=27</v>
      </c>
      <c r="S30" s="24" t="str">
        <f t="shared" si="4"/>
        <v>rokprognozy=2027 i lp=27</v>
      </c>
      <c r="T30" s="24" t="str">
        <f t="shared" si="4"/>
        <v>rokprognozy=2028 i lp=27</v>
      </c>
      <c r="U30" s="24" t="str">
        <f t="shared" si="4"/>
        <v>rokprognozy=2029 i lp=27</v>
      </c>
      <c r="V30" s="24" t="str">
        <f t="shared" si="4"/>
        <v>rokprognozy=2030 i lp=27</v>
      </c>
      <c r="W30" s="24" t="str">
        <f t="shared" si="4"/>
        <v>rokprognozy=2031 i lp=27</v>
      </c>
      <c r="X30" s="24" t="str">
        <f t="shared" si="4"/>
        <v>rokprognozy=2032 i lp=27</v>
      </c>
      <c r="Y30" s="24" t="str">
        <f t="shared" si="4"/>
        <v>rokprognozy=2033 i lp=27</v>
      </c>
      <c r="Z30" s="24" t="str">
        <f t="shared" si="4"/>
        <v>rokprognozy=2034 i lp=27</v>
      </c>
      <c r="AA30" s="24" t="str">
        <f t="shared" si="4"/>
        <v>rokprognozy=2035 i lp=27</v>
      </c>
      <c r="AB30" s="24" t="str">
        <f t="shared" si="4"/>
        <v>rokprognozy=2036 i lp=27</v>
      </c>
      <c r="AC30" s="24" t="str">
        <f t="shared" si="5"/>
        <v>rokprognozy=2037 i lp=27</v>
      </c>
      <c r="AD30" s="24" t="str">
        <f t="shared" si="5"/>
        <v>rokprognozy=2038 i lp=27</v>
      </c>
      <c r="AE30" s="24" t="str">
        <f t="shared" si="5"/>
        <v>rokprognozy=2039 i lp=27</v>
      </c>
      <c r="AF30" s="24" t="str">
        <f t="shared" si="5"/>
        <v>rokprognozy=2040 i lp=27</v>
      </c>
      <c r="AG30" s="24" t="str">
        <f t="shared" si="5"/>
        <v>rokprognozy=2041 i lp=27</v>
      </c>
      <c r="AH30" s="24" t="str">
        <f t="shared" si="5"/>
        <v>rokprognozy=2042 i lp=27</v>
      </c>
      <c r="AI30" s="24" t="str">
        <f t="shared" si="5"/>
        <v>rokprognozy=2043 i lp=27</v>
      </c>
      <c r="AJ30" s="24" t="str">
        <f t="shared" si="5"/>
        <v>rokprognozy=2044 i lp=27</v>
      </c>
      <c r="AK30" s="24" t="str">
        <f t="shared" si="5"/>
        <v>rokprognozy=2045 i lp=27</v>
      </c>
      <c r="AL30" s="24" t="str">
        <f t="shared" si="5"/>
        <v>rokprognozy=2046 i lp=27</v>
      </c>
      <c r="AM30" s="24" t="str">
        <f t="shared" si="5"/>
        <v>rokprognozy=2047 i lp=27</v>
      </c>
      <c r="AN30" s="24" t="str">
        <f t="shared" si="5"/>
        <v>rokprognozy=2048 i lp=27</v>
      </c>
      <c r="AO30" s="24" t="str">
        <f t="shared" si="5"/>
        <v>rokprognozy=2049 i lp=27</v>
      </c>
      <c r="AP30" s="24" t="str">
        <f t="shared" si="5"/>
        <v>rokprognozy=2050 i lp=27</v>
      </c>
    </row>
    <row r="31" spans="1:42" ht="14.25" customHeight="1">
      <c r="A31" s="8">
        <v>28</v>
      </c>
      <c r="B31" s="36" t="s">
        <v>132</v>
      </c>
      <c r="C31" s="45" t="s">
        <v>133</v>
      </c>
      <c r="D31" s="24" t="str">
        <f t="shared" si="6"/>
        <v>rokprognozy=2012 i lp=28</v>
      </c>
      <c r="E31" s="24" t="str">
        <f t="shared" si="6"/>
        <v>rokprognozy=2013 i lp=28</v>
      </c>
      <c r="F31" s="24" t="str">
        <f t="shared" si="6"/>
        <v>rokprognozy=2014 i lp=28</v>
      </c>
      <c r="G31" s="24" t="str">
        <f t="shared" si="6"/>
        <v>rokprognozy=2015 i lp=28</v>
      </c>
      <c r="H31" s="24" t="str">
        <f t="shared" si="6"/>
        <v>rokprognozy=2016 i lp=28</v>
      </c>
      <c r="I31" s="24" t="str">
        <f t="shared" si="6"/>
        <v>rokprognozy=2017 i lp=28</v>
      </c>
      <c r="J31" s="24" t="str">
        <f t="shared" si="6"/>
        <v>rokprognozy=2018 i lp=28</v>
      </c>
      <c r="K31" s="24" t="str">
        <f t="shared" si="6"/>
        <v>rokprognozy=2019 i lp=28</v>
      </c>
      <c r="L31" s="24" t="str">
        <f t="shared" si="6"/>
        <v>rokprognozy=2020 i lp=28</v>
      </c>
      <c r="M31" s="24" t="str">
        <f t="shared" si="4"/>
        <v>rokprognozy=2021 i lp=28</v>
      </c>
      <c r="N31" s="24" t="str">
        <f t="shared" si="4"/>
        <v>rokprognozy=2022 i lp=28</v>
      </c>
      <c r="O31" s="24" t="str">
        <f t="shared" si="4"/>
        <v>rokprognozy=2023 i lp=28</v>
      </c>
      <c r="P31" s="24" t="str">
        <f t="shared" si="4"/>
        <v>rokprognozy=2024 i lp=28</v>
      </c>
      <c r="Q31" s="24" t="str">
        <f t="shared" si="4"/>
        <v>rokprognozy=2025 i lp=28</v>
      </c>
      <c r="R31" s="24" t="str">
        <f t="shared" si="4"/>
        <v>rokprognozy=2026 i lp=28</v>
      </c>
      <c r="S31" s="24" t="str">
        <f t="shared" si="4"/>
        <v>rokprognozy=2027 i lp=28</v>
      </c>
      <c r="T31" s="24" t="str">
        <f t="shared" si="4"/>
        <v>rokprognozy=2028 i lp=28</v>
      </c>
      <c r="U31" s="24" t="str">
        <f t="shared" si="4"/>
        <v>rokprognozy=2029 i lp=28</v>
      </c>
      <c r="V31" s="24" t="str">
        <f t="shared" si="4"/>
        <v>rokprognozy=2030 i lp=28</v>
      </c>
      <c r="W31" s="24" t="str">
        <f t="shared" si="4"/>
        <v>rokprognozy=2031 i lp=28</v>
      </c>
      <c r="X31" s="24" t="str">
        <f t="shared" si="4"/>
        <v>rokprognozy=2032 i lp=28</v>
      </c>
      <c r="Y31" s="24" t="str">
        <f t="shared" si="4"/>
        <v>rokprognozy=2033 i lp=28</v>
      </c>
      <c r="Z31" s="24" t="str">
        <f t="shared" si="4"/>
        <v>rokprognozy=2034 i lp=28</v>
      </c>
      <c r="AA31" s="24" t="str">
        <f t="shared" si="4"/>
        <v>rokprognozy=2035 i lp=28</v>
      </c>
      <c r="AB31" s="24" t="str">
        <f t="shared" si="4"/>
        <v>rokprognozy=2036 i lp=28</v>
      </c>
      <c r="AC31" s="24" t="str">
        <f t="shared" si="5"/>
        <v>rokprognozy=2037 i lp=28</v>
      </c>
      <c r="AD31" s="24" t="str">
        <f t="shared" si="5"/>
        <v>rokprognozy=2038 i lp=28</v>
      </c>
      <c r="AE31" s="24" t="str">
        <f t="shared" si="5"/>
        <v>rokprognozy=2039 i lp=28</v>
      </c>
      <c r="AF31" s="24" t="str">
        <f t="shared" si="5"/>
        <v>rokprognozy=2040 i lp=28</v>
      </c>
      <c r="AG31" s="24" t="str">
        <f t="shared" si="5"/>
        <v>rokprognozy=2041 i lp=28</v>
      </c>
      <c r="AH31" s="24" t="str">
        <f t="shared" si="5"/>
        <v>rokprognozy=2042 i lp=28</v>
      </c>
      <c r="AI31" s="24" t="str">
        <f t="shared" si="5"/>
        <v>rokprognozy=2043 i lp=28</v>
      </c>
      <c r="AJ31" s="24" t="str">
        <f t="shared" si="5"/>
        <v>rokprognozy=2044 i lp=28</v>
      </c>
      <c r="AK31" s="24" t="str">
        <f t="shared" si="5"/>
        <v>rokprognozy=2045 i lp=28</v>
      </c>
      <c r="AL31" s="24" t="str">
        <f t="shared" si="5"/>
        <v>rokprognozy=2046 i lp=28</v>
      </c>
      <c r="AM31" s="24" t="str">
        <f t="shared" si="5"/>
        <v>rokprognozy=2047 i lp=28</v>
      </c>
      <c r="AN31" s="24" t="str">
        <f t="shared" si="5"/>
        <v>rokprognozy=2048 i lp=28</v>
      </c>
      <c r="AO31" s="24" t="str">
        <f t="shared" si="5"/>
        <v>rokprognozy=2049 i lp=28</v>
      </c>
      <c r="AP31" s="24" t="str">
        <f t="shared" si="5"/>
        <v>rokprognozy=2050 i lp=28</v>
      </c>
    </row>
    <row r="32" spans="1:42" ht="49.5" customHeight="1">
      <c r="A32" s="8">
        <v>29</v>
      </c>
      <c r="B32" s="36" t="s">
        <v>134</v>
      </c>
      <c r="C32" s="45" t="s">
        <v>115</v>
      </c>
      <c r="D32" s="24" t="str">
        <f t="shared" si="6"/>
        <v>rokprognozy=2012 i lp=29</v>
      </c>
      <c r="E32" s="24" t="str">
        <f t="shared" si="6"/>
        <v>rokprognozy=2013 i lp=29</v>
      </c>
      <c r="F32" s="35" t="str">
        <f t="shared" si="6"/>
        <v>rokprognozy=2014 i lp=29</v>
      </c>
      <c r="G32" s="35" t="str">
        <f t="shared" si="6"/>
        <v>rokprognozy=2015 i lp=29</v>
      </c>
      <c r="H32" s="35" t="str">
        <f t="shared" si="6"/>
        <v>rokprognozy=2016 i lp=29</v>
      </c>
      <c r="I32" s="35" t="str">
        <f t="shared" si="6"/>
        <v>rokprognozy=2017 i lp=29</v>
      </c>
      <c r="J32" s="35" t="str">
        <f t="shared" si="6"/>
        <v>rokprognozy=2018 i lp=29</v>
      </c>
      <c r="K32" s="35" t="str">
        <f t="shared" si="6"/>
        <v>rokprognozy=2019 i lp=29</v>
      </c>
      <c r="L32" s="35" t="str">
        <f t="shared" si="6"/>
        <v>rokprognozy=2020 i lp=29</v>
      </c>
      <c r="M32" s="35" t="str">
        <f t="shared" si="4"/>
        <v>rokprognozy=2021 i lp=29</v>
      </c>
      <c r="N32" s="35" t="str">
        <f t="shared" si="4"/>
        <v>rokprognozy=2022 i lp=29</v>
      </c>
      <c r="O32" s="35" t="str">
        <f t="shared" si="4"/>
        <v>rokprognozy=2023 i lp=29</v>
      </c>
      <c r="P32" s="35" t="str">
        <f t="shared" si="4"/>
        <v>rokprognozy=2024 i lp=29</v>
      </c>
      <c r="Q32" s="35" t="str">
        <f t="shared" si="4"/>
        <v>rokprognozy=2025 i lp=29</v>
      </c>
      <c r="R32" s="35" t="str">
        <f t="shared" si="4"/>
        <v>rokprognozy=2026 i lp=29</v>
      </c>
      <c r="S32" s="35" t="str">
        <f t="shared" si="4"/>
        <v>rokprognozy=2027 i lp=29</v>
      </c>
      <c r="T32" s="35" t="str">
        <f t="shared" si="4"/>
        <v>rokprognozy=2028 i lp=29</v>
      </c>
      <c r="U32" s="35" t="str">
        <f t="shared" si="4"/>
        <v>rokprognozy=2029 i lp=29</v>
      </c>
      <c r="V32" s="35" t="str">
        <f t="shared" si="4"/>
        <v>rokprognozy=2030 i lp=29</v>
      </c>
      <c r="W32" s="35" t="str">
        <f t="shared" si="4"/>
        <v>rokprognozy=2031 i lp=29</v>
      </c>
      <c r="X32" s="35" t="str">
        <f t="shared" si="4"/>
        <v>rokprognozy=2032 i lp=29</v>
      </c>
      <c r="Y32" s="35" t="str">
        <f t="shared" si="4"/>
        <v>rokprognozy=2033 i lp=29</v>
      </c>
      <c r="Z32" s="35" t="str">
        <f t="shared" si="4"/>
        <v>rokprognozy=2034 i lp=29</v>
      </c>
      <c r="AA32" s="35" t="str">
        <f t="shared" si="4"/>
        <v>rokprognozy=2035 i lp=29</v>
      </c>
      <c r="AB32" s="35" t="str">
        <f>+"rokprognozy="&amp;AB$3&amp;" i lp="&amp;$A32</f>
        <v>rokprognozy=2036 i lp=29</v>
      </c>
      <c r="AC32" s="35" t="str">
        <f t="shared" si="5"/>
        <v>rokprognozy=2037 i lp=29</v>
      </c>
      <c r="AD32" s="35" t="str">
        <f t="shared" si="5"/>
        <v>rokprognozy=2038 i lp=29</v>
      </c>
      <c r="AE32" s="35" t="str">
        <f t="shared" si="5"/>
        <v>rokprognozy=2039 i lp=29</v>
      </c>
      <c r="AF32" s="35" t="str">
        <f t="shared" si="5"/>
        <v>rokprognozy=2040 i lp=29</v>
      </c>
      <c r="AG32" s="35" t="str">
        <f t="shared" si="5"/>
        <v>rokprognozy=2041 i lp=29</v>
      </c>
      <c r="AH32" s="35" t="str">
        <f t="shared" si="5"/>
        <v>rokprognozy=2042 i lp=29</v>
      </c>
      <c r="AI32" s="35" t="str">
        <f t="shared" si="5"/>
        <v>rokprognozy=2043 i lp=29</v>
      </c>
      <c r="AJ32" s="35" t="str">
        <f t="shared" si="5"/>
        <v>rokprognozy=2044 i lp=29</v>
      </c>
      <c r="AK32" s="35" t="str">
        <f t="shared" si="5"/>
        <v>rokprognozy=2045 i lp=29</v>
      </c>
      <c r="AL32" s="35" t="str">
        <f t="shared" si="5"/>
        <v>rokprognozy=2046 i lp=29</v>
      </c>
      <c r="AM32" s="35" t="str">
        <f t="shared" si="5"/>
        <v>rokprognozy=2047 i lp=29</v>
      </c>
      <c r="AN32" s="35" t="str">
        <f t="shared" si="5"/>
        <v>rokprognozy=2048 i lp=29</v>
      </c>
      <c r="AO32" s="35" t="str">
        <f t="shared" si="5"/>
        <v>rokprognozy=2049 i lp=29</v>
      </c>
      <c r="AP32" s="35" t="str">
        <f t="shared" si="5"/>
        <v>rokprognozy=2050 i lp=29</v>
      </c>
    </row>
    <row r="33" spans="1:42">
      <c r="A33" s="8">
        <v>30</v>
      </c>
      <c r="B33" s="36">
        <v>11</v>
      </c>
      <c r="C33" s="45" t="s">
        <v>62</v>
      </c>
      <c r="D33" s="24" t="str">
        <f t="shared" si="6"/>
        <v>rokprognozy=2012 i lp=30</v>
      </c>
      <c r="E33" s="24" t="str">
        <f t="shared" si="6"/>
        <v>rokprognozy=2013 i lp=30</v>
      </c>
      <c r="F33" s="35" t="str">
        <f t="shared" si="6"/>
        <v>rokprognozy=2014 i lp=30</v>
      </c>
      <c r="G33" s="35" t="str">
        <f t="shared" si="6"/>
        <v>rokprognozy=2015 i lp=30</v>
      </c>
      <c r="H33" s="35" t="str">
        <f t="shared" si="6"/>
        <v>rokprognozy=2016 i lp=30</v>
      </c>
      <c r="I33" s="35" t="str">
        <f t="shared" si="6"/>
        <v>rokprognozy=2017 i lp=30</v>
      </c>
      <c r="J33" s="35" t="str">
        <f t="shared" si="6"/>
        <v>rokprognozy=2018 i lp=30</v>
      </c>
      <c r="K33" s="35" t="str">
        <f t="shared" si="6"/>
        <v>rokprognozy=2019 i lp=30</v>
      </c>
      <c r="L33" s="35" t="str">
        <f t="shared" si="6"/>
        <v>rokprognozy=2020 i lp=30</v>
      </c>
      <c r="M33" s="35" t="str">
        <f t="shared" si="6"/>
        <v>rokprognozy=2021 i lp=30</v>
      </c>
      <c r="N33" s="35" t="str">
        <f t="shared" si="6"/>
        <v>rokprognozy=2022 i lp=30</v>
      </c>
      <c r="O33" s="35" t="str">
        <f t="shared" si="6"/>
        <v>rokprognozy=2023 i lp=30</v>
      </c>
      <c r="P33" s="35" t="str">
        <f t="shared" si="6"/>
        <v>rokprognozy=2024 i lp=30</v>
      </c>
      <c r="Q33" s="35" t="str">
        <f t="shared" si="6"/>
        <v>rokprognozy=2025 i lp=30</v>
      </c>
      <c r="R33" s="35" t="str">
        <f t="shared" si="6"/>
        <v>rokprognozy=2026 i lp=30</v>
      </c>
      <c r="S33" s="35" t="str">
        <f t="shared" si="6"/>
        <v>rokprognozy=2027 i lp=30</v>
      </c>
      <c r="T33" s="35" t="str">
        <f t="shared" ref="M33:AB49" si="7">+"rokprognozy="&amp;T$3&amp;" i lp="&amp;$A33</f>
        <v>rokprognozy=2028 i lp=30</v>
      </c>
      <c r="U33" s="35" t="str">
        <f t="shared" si="7"/>
        <v>rokprognozy=2029 i lp=30</v>
      </c>
      <c r="V33" s="35" t="str">
        <f t="shared" si="7"/>
        <v>rokprognozy=2030 i lp=30</v>
      </c>
      <c r="W33" s="35" t="str">
        <f t="shared" si="7"/>
        <v>rokprognozy=2031 i lp=30</v>
      </c>
      <c r="X33" s="35" t="str">
        <f t="shared" si="7"/>
        <v>rokprognozy=2032 i lp=30</v>
      </c>
      <c r="Y33" s="35" t="str">
        <f t="shared" si="7"/>
        <v>rokprognozy=2033 i lp=30</v>
      </c>
      <c r="Z33" s="35" t="str">
        <f t="shared" si="7"/>
        <v>rokprognozy=2034 i lp=30</v>
      </c>
      <c r="AA33" s="35" t="str">
        <f t="shared" si="7"/>
        <v>rokprognozy=2035 i lp=30</v>
      </c>
      <c r="AB33" s="35" t="str">
        <f t="shared" si="7"/>
        <v>rokprognozy=2036 i lp=30</v>
      </c>
      <c r="AC33" s="35" t="str">
        <f t="shared" si="5"/>
        <v>rokprognozy=2037 i lp=30</v>
      </c>
      <c r="AD33" s="35" t="str">
        <f t="shared" si="5"/>
        <v>rokprognozy=2038 i lp=30</v>
      </c>
      <c r="AE33" s="35" t="str">
        <f t="shared" si="5"/>
        <v>rokprognozy=2039 i lp=30</v>
      </c>
      <c r="AF33" s="35" t="str">
        <f t="shared" si="5"/>
        <v>rokprognozy=2040 i lp=30</v>
      </c>
      <c r="AG33" s="35" t="str">
        <f t="shared" si="5"/>
        <v>rokprognozy=2041 i lp=30</v>
      </c>
      <c r="AH33" s="35" t="str">
        <f t="shared" si="5"/>
        <v>rokprognozy=2042 i lp=30</v>
      </c>
      <c r="AI33" s="35" t="str">
        <f t="shared" si="5"/>
        <v>rokprognozy=2043 i lp=30</v>
      </c>
      <c r="AJ33" s="35" t="str">
        <f t="shared" si="5"/>
        <v>rokprognozy=2044 i lp=30</v>
      </c>
      <c r="AK33" s="35" t="str">
        <f t="shared" si="5"/>
        <v>rokprognozy=2045 i lp=30</v>
      </c>
      <c r="AL33" s="35" t="str">
        <f t="shared" si="5"/>
        <v>rokprognozy=2046 i lp=30</v>
      </c>
      <c r="AM33" s="35" t="str">
        <f t="shared" si="5"/>
        <v>rokprognozy=2047 i lp=30</v>
      </c>
      <c r="AN33" s="35" t="str">
        <f t="shared" si="5"/>
        <v>rokprognozy=2048 i lp=30</v>
      </c>
      <c r="AO33" s="35" t="str">
        <f t="shared" si="5"/>
        <v>rokprognozy=2049 i lp=30</v>
      </c>
      <c r="AP33" s="35" t="str">
        <f t="shared" si="5"/>
        <v>rokprognozy=2050 i lp=30</v>
      </c>
    </row>
    <row r="34" spans="1:42">
      <c r="A34" s="8">
        <v>31</v>
      </c>
      <c r="B34" s="36" t="s">
        <v>135</v>
      </c>
      <c r="C34" s="45" t="s">
        <v>118</v>
      </c>
      <c r="D34" s="24" t="str">
        <f t="shared" si="6"/>
        <v>rokprognozy=2012 i lp=31</v>
      </c>
      <c r="E34" s="24" t="str">
        <f t="shared" si="6"/>
        <v>rokprognozy=2013 i lp=31</v>
      </c>
      <c r="F34" s="35" t="str">
        <f t="shared" si="6"/>
        <v>rokprognozy=2014 i lp=31</v>
      </c>
      <c r="G34" s="35" t="str">
        <f t="shared" si="6"/>
        <v>rokprognozy=2015 i lp=31</v>
      </c>
      <c r="H34" s="35" t="str">
        <f t="shared" si="6"/>
        <v>rokprognozy=2016 i lp=31</v>
      </c>
      <c r="I34" s="35" t="str">
        <f t="shared" si="6"/>
        <v>rokprognozy=2017 i lp=31</v>
      </c>
      <c r="J34" s="35" t="str">
        <f t="shared" si="6"/>
        <v>rokprognozy=2018 i lp=31</v>
      </c>
      <c r="K34" s="35" t="str">
        <f t="shared" si="6"/>
        <v>rokprognozy=2019 i lp=31</v>
      </c>
      <c r="L34" s="35" t="str">
        <f t="shared" si="6"/>
        <v>rokprognozy=2020 i lp=31</v>
      </c>
      <c r="M34" s="35" t="str">
        <f t="shared" si="7"/>
        <v>rokprognozy=2021 i lp=31</v>
      </c>
      <c r="N34" s="35" t="str">
        <f t="shared" si="7"/>
        <v>rokprognozy=2022 i lp=31</v>
      </c>
      <c r="O34" s="35" t="str">
        <f t="shared" si="7"/>
        <v>rokprognozy=2023 i lp=31</v>
      </c>
      <c r="P34" s="35" t="str">
        <f t="shared" si="7"/>
        <v>rokprognozy=2024 i lp=31</v>
      </c>
      <c r="Q34" s="35" t="str">
        <f t="shared" si="7"/>
        <v>rokprognozy=2025 i lp=31</v>
      </c>
      <c r="R34" s="35" t="str">
        <f t="shared" si="7"/>
        <v>rokprognozy=2026 i lp=31</v>
      </c>
      <c r="S34" s="35" t="str">
        <f t="shared" si="7"/>
        <v>rokprognozy=2027 i lp=31</v>
      </c>
      <c r="T34" s="35" t="str">
        <f t="shared" si="7"/>
        <v>rokprognozy=2028 i lp=31</v>
      </c>
      <c r="U34" s="35" t="str">
        <f t="shared" si="7"/>
        <v>rokprognozy=2029 i lp=31</v>
      </c>
      <c r="V34" s="35" t="str">
        <f t="shared" si="7"/>
        <v>rokprognozy=2030 i lp=31</v>
      </c>
      <c r="W34" s="35" t="str">
        <f t="shared" si="7"/>
        <v>rokprognozy=2031 i lp=31</v>
      </c>
      <c r="X34" s="35" t="str">
        <f t="shared" si="7"/>
        <v>rokprognozy=2032 i lp=31</v>
      </c>
      <c r="Y34" s="35" t="str">
        <f t="shared" si="7"/>
        <v>rokprognozy=2033 i lp=31</v>
      </c>
      <c r="Z34" s="35" t="str">
        <f t="shared" si="7"/>
        <v>rokprognozy=2034 i lp=31</v>
      </c>
      <c r="AA34" s="35" t="str">
        <f t="shared" si="7"/>
        <v>rokprognozy=2035 i lp=31</v>
      </c>
      <c r="AB34" s="35" t="str">
        <f t="shared" si="7"/>
        <v>rokprognozy=2036 i lp=31</v>
      </c>
      <c r="AC34" s="35" t="str">
        <f t="shared" ref="AC34:AP52" si="8">+"rokprognozy="&amp;AC$3&amp;" i lp="&amp;$A34</f>
        <v>rokprognozy=2037 i lp=31</v>
      </c>
      <c r="AD34" s="35" t="str">
        <f t="shared" si="8"/>
        <v>rokprognozy=2038 i lp=31</v>
      </c>
      <c r="AE34" s="35" t="str">
        <f t="shared" si="8"/>
        <v>rokprognozy=2039 i lp=31</v>
      </c>
      <c r="AF34" s="35" t="str">
        <f t="shared" si="8"/>
        <v>rokprognozy=2040 i lp=31</v>
      </c>
      <c r="AG34" s="35" t="str">
        <f t="shared" si="8"/>
        <v>rokprognozy=2041 i lp=31</v>
      </c>
      <c r="AH34" s="35" t="str">
        <f t="shared" si="8"/>
        <v>rokprognozy=2042 i lp=31</v>
      </c>
      <c r="AI34" s="35" t="str">
        <f t="shared" si="8"/>
        <v>rokprognozy=2043 i lp=31</v>
      </c>
      <c r="AJ34" s="35" t="str">
        <f t="shared" si="8"/>
        <v>rokprognozy=2044 i lp=31</v>
      </c>
      <c r="AK34" s="35" t="str">
        <f t="shared" si="8"/>
        <v>rokprognozy=2045 i lp=31</v>
      </c>
      <c r="AL34" s="35" t="str">
        <f t="shared" si="8"/>
        <v>rokprognozy=2046 i lp=31</v>
      </c>
      <c r="AM34" s="35" t="str">
        <f t="shared" si="8"/>
        <v>rokprognozy=2047 i lp=31</v>
      </c>
      <c r="AN34" s="35" t="str">
        <f t="shared" si="8"/>
        <v>rokprognozy=2048 i lp=31</v>
      </c>
      <c r="AO34" s="35" t="str">
        <f t="shared" si="8"/>
        <v>rokprognozy=2049 i lp=31</v>
      </c>
      <c r="AP34" s="35" t="str">
        <f t="shared" si="8"/>
        <v>rokprognozy=2050 i lp=31</v>
      </c>
    </row>
    <row r="35" spans="1:42">
      <c r="A35" s="8">
        <v>32</v>
      </c>
      <c r="B35" s="36">
        <v>12</v>
      </c>
      <c r="C35" s="45" t="s">
        <v>136</v>
      </c>
      <c r="D35" s="24" t="str">
        <f t="shared" si="6"/>
        <v>rokprognozy=2012 i lp=32</v>
      </c>
      <c r="E35" s="24" t="str">
        <f t="shared" si="6"/>
        <v>rokprognozy=2013 i lp=32</v>
      </c>
      <c r="F35" s="35" t="str">
        <f t="shared" si="6"/>
        <v>rokprognozy=2014 i lp=32</v>
      </c>
      <c r="G35" s="35" t="str">
        <f t="shared" si="6"/>
        <v>rokprognozy=2015 i lp=32</v>
      </c>
      <c r="H35" s="35" t="str">
        <f t="shared" si="6"/>
        <v>rokprognozy=2016 i lp=32</v>
      </c>
      <c r="I35" s="35" t="str">
        <f t="shared" si="6"/>
        <v>rokprognozy=2017 i lp=32</v>
      </c>
      <c r="J35" s="35" t="str">
        <f t="shared" si="6"/>
        <v>rokprognozy=2018 i lp=32</v>
      </c>
      <c r="K35" s="35" t="str">
        <f t="shared" si="6"/>
        <v>rokprognozy=2019 i lp=32</v>
      </c>
      <c r="L35" s="35" t="str">
        <f t="shared" si="6"/>
        <v>rokprognozy=2020 i lp=32</v>
      </c>
      <c r="M35" s="35" t="str">
        <f t="shared" si="7"/>
        <v>rokprognozy=2021 i lp=32</v>
      </c>
      <c r="N35" s="35" t="str">
        <f t="shared" si="7"/>
        <v>rokprognozy=2022 i lp=32</v>
      </c>
      <c r="O35" s="35" t="str">
        <f t="shared" si="7"/>
        <v>rokprognozy=2023 i lp=32</v>
      </c>
      <c r="P35" s="35" t="str">
        <f t="shared" si="7"/>
        <v>rokprognozy=2024 i lp=32</v>
      </c>
      <c r="Q35" s="35" t="str">
        <f t="shared" si="7"/>
        <v>rokprognozy=2025 i lp=32</v>
      </c>
      <c r="R35" s="35" t="str">
        <f t="shared" si="7"/>
        <v>rokprognozy=2026 i lp=32</v>
      </c>
      <c r="S35" s="35" t="str">
        <f t="shared" si="7"/>
        <v>rokprognozy=2027 i lp=32</v>
      </c>
      <c r="T35" s="35" t="str">
        <f t="shared" si="7"/>
        <v>rokprognozy=2028 i lp=32</v>
      </c>
      <c r="U35" s="35" t="str">
        <f t="shared" si="7"/>
        <v>rokprognozy=2029 i lp=32</v>
      </c>
      <c r="V35" s="35" t="str">
        <f t="shared" si="7"/>
        <v>rokprognozy=2030 i lp=32</v>
      </c>
      <c r="W35" s="35" t="str">
        <f t="shared" si="7"/>
        <v>rokprognozy=2031 i lp=32</v>
      </c>
      <c r="X35" s="35" t="str">
        <f t="shared" si="7"/>
        <v>rokprognozy=2032 i lp=32</v>
      </c>
      <c r="Y35" s="35" t="str">
        <f t="shared" si="7"/>
        <v>rokprognozy=2033 i lp=32</v>
      </c>
      <c r="Z35" s="35" t="str">
        <f t="shared" si="7"/>
        <v>rokprognozy=2034 i lp=32</v>
      </c>
      <c r="AA35" s="35" t="str">
        <f t="shared" si="7"/>
        <v>rokprognozy=2035 i lp=32</v>
      </c>
      <c r="AB35" s="35" t="str">
        <f t="shared" si="7"/>
        <v>rokprognozy=2036 i lp=32</v>
      </c>
      <c r="AC35" s="35" t="str">
        <f t="shared" si="8"/>
        <v>rokprognozy=2037 i lp=32</v>
      </c>
      <c r="AD35" s="35" t="str">
        <f t="shared" si="8"/>
        <v>rokprognozy=2038 i lp=32</v>
      </c>
      <c r="AE35" s="35" t="str">
        <f t="shared" si="8"/>
        <v>rokprognozy=2039 i lp=32</v>
      </c>
      <c r="AF35" s="35" t="str">
        <f t="shared" si="8"/>
        <v>rokprognozy=2040 i lp=32</v>
      </c>
      <c r="AG35" s="35" t="str">
        <f t="shared" si="8"/>
        <v>rokprognozy=2041 i lp=32</v>
      </c>
      <c r="AH35" s="35" t="str">
        <f t="shared" si="8"/>
        <v>rokprognozy=2042 i lp=32</v>
      </c>
      <c r="AI35" s="35" t="str">
        <f t="shared" si="8"/>
        <v>rokprognozy=2043 i lp=32</v>
      </c>
      <c r="AJ35" s="35" t="str">
        <f t="shared" si="8"/>
        <v>rokprognozy=2044 i lp=32</v>
      </c>
      <c r="AK35" s="35" t="str">
        <f t="shared" si="8"/>
        <v>rokprognozy=2045 i lp=32</v>
      </c>
      <c r="AL35" s="35" t="str">
        <f t="shared" si="8"/>
        <v>rokprognozy=2046 i lp=32</v>
      </c>
      <c r="AM35" s="35" t="str">
        <f t="shared" si="8"/>
        <v>rokprognozy=2047 i lp=32</v>
      </c>
      <c r="AN35" s="35" t="str">
        <f t="shared" si="8"/>
        <v>rokprognozy=2048 i lp=32</v>
      </c>
      <c r="AO35" s="35" t="str">
        <f t="shared" si="8"/>
        <v>rokprognozy=2049 i lp=32</v>
      </c>
      <c r="AP35" s="35" t="str">
        <f t="shared" si="8"/>
        <v>rokprognozy=2050 i lp=32</v>
      </c>
    </row>
    <row r="36" spans="1:42">
      <c r="A36" s="8">
        <v>33</v>
      </c>
      <c r="B36" s="36">
        <v>13</v>
      </c>
      <c r="C36" s="45" t="s">
        <v>66</v>
      </c>
      <c r="D36" s="24" t="str">
        <f t="shared" si="6"/>
        <v>rokprognozy=2012 i lp=33</v>
      </c>
      <c r="E36" s="24" t="str">
        <f t="shared" si="6"/>
        <v>rokprognozy=2013 i lp=33</v>
      </c>
      <c r="F36" s="35" t="str">
        <f t="shared" si="6"/>
        <v>rokprognozy=2014 i lp=33</v>
      </c>
      <c r="G36" s="35" t="str">
        <f t="shared" si="6"/>
        <v>rokprognozy=2015 i lp=33</v>
      </c>
      <c r="H36" s="35" t="str">
        <f t="shared" si="6"/>
        <v>rokprognozy=2016 i lp=33</v>
      </c>
      <c r="I36" s="35" t="str">
        <f t="shared" si="6"/>
        <v>rokprognozy=2017 i lp=33</v>
      </c>
      <c r="J36" s="35" t="str">
        <f t="shared" si="6"/>
        <v>rokprognozy=2018 i lp=33</v>
      </c>
      <c r="K36" s="35" t="str">
        <f t="shared" si="6"/>
        <v>rokprognozy=2019 i lp=33</v>
      </c>
      <c r="L36" s="35" t="str">
        <f t="shared" si="6"/>
        <v>rokprognozy=2020 i lp=33</v>
      </c>
      <c r="M36" s="35" t="str">
        <f t="shared" si="7"/>
        <v>rokprognozy=2021 i lp=33</v>
      </c>
      <c r="N36" s="35" t="str">
        <f t="shared" si="7"/>
        <v>rokprognozy=2022 i lp=33</v>
      </c>
      <c r="O36" s="35" t="str">
        <f t="shared" si="7"/>
        <v>rokprognozy=2023 i lp=33</v>
      </c>
      <c r="P36" s="35" t="str">
        <f t="shared" si="7"/>
        <v>rokprognozy=2024 i lp=33</v>
      </c>
      <c r="Q36" s="35" t="str">
        <f t="shared" si="7"/>
        <v>rokprognozy=2025 i lp=33</v>
      </c>
      <c r="R36" s="35" t="str">
        <f t="shared" si="7"/>
        <v>rokprognozy=2026 i lp=33</v>
      </c>
      <c r="S36" s="35" t="str">
        <f t="shared" si="7"/>
        <v>rokprognozy=2027 i lp=33</v>
      </c>
      <c r="T36" s="35" t="str">
        <f t="shared" si="7"/>
        <v>rokprognozy=2028 i lp=33</v>
      </c>
      <c r="U36" s="35" t="str">
        <f t="shared" si="7"/>
        <v>rokprognozy=2029 i lp=33</v>
      </c>
      <c r="V36" s="35" t="str">
        <f t="shared" si="7"/>
        <v>rokprognozy=2030 i lp=33</v>
      </c>
      <c r="W36" s="35" t="str">
        <f t="shared" si="7"/>
        <v>rokprognozy=2031 i lp=33</v>
      </c>
      <c r="X36" s="35" t="str">
        <f t="shared" si="7"/>
        <v>rokprognozy=2032 i lp=33</v>
      </c>
      <c r="Y36" s="35" t="str">
        <f t="shared" si="7"/>
        <v>rokprognozy=2033 i lp=33</v>
      </c>
      <c r="Z36" s="35" t="str">
        <f t="shared" si="7"/>
        <v>rokprognozy=2034 i lp=33</v>
      </c>
      <c r="AA36" s="35" t="str">
        <f t="shared" si="7"/>
        <v>rokprognozy=2035 i lp=33</v>
      </c>
      <c r="AB36" s="35" t="str">
        <f t="shared" si="7"/>
        <v>rokprognozy=2036 i lp=33</v>
      </c>
      <c r="AC36" s="35" t="str">
        <f t="shared" si="8"/>
        <v>rokprognozy=2037 i lp=33</v>
      </c>
      <c r="AD36" s="35" t="str">
        <f t="shared" si="8"/>
        <v>rokprognozy=2038 i lp=33</v>
      </c>
      <c r="AE36" s="35" t="str">
        <f t="shared" si="8"/>
        <v>rokprognozy=2039 i lp=33</v>
      </c>
      <c r="AF36" s="35" t="str">
        <f t="shared" si="8"/>
        <v>rokprognozy=2040 i lp=33</v>
      </c>
      <c r="AG36" s="35" t="str">
        <f t="shared" si="8"/>
        <v>rokprognozy=2041 i lp=33</v>
      </c>
      <c r="AH36" s="35" t="str">
        <f t="shared" si="8"/>
        <v>rokprognozy=2042 i lp=33</v>
      </c>
      <c r="AI36" s="35" t="str">
        <f t="shared" si="8"/>
        <v>rokprognozy=2043 i lp=33</v>
      </c>
      <c r="AJ36" s="35" t="str">
        <f t="shared" si="8"/>
        <v>rokprognozy=2044 i lp=33</v>
      </c>
      <c r="AK36" s="35" t="str">
        <f t="shared" si="8"/>
        <v>rokprognozy=2045 i lp=33</v>
      </c>
      <c r="AL36" s="35" t="str">
        <f t="shared" si="8"/>
        <v>rokprognozy=2046 i lp=33</v>
      </c>
      <c r="AM36" s="35" t="str">
        <f t="shared" si="8"/>
        <v>rokprognozy=2047 i lp=33</v>
      </c>
      <c r="AN36" s="35" t="str">
        <f t="shared" si="8"/>
        <v>rokprognozy=2048 i lp=33</v>
      </c>
      <c r="AO36" s="35" t="str">
        <f t="shared" si="8"/>
        <v>rokprognozy=2049 i lp=33</v>
      </c>
      <c r="AP36" s="35" t="str">
        <f t="shared" si="8"/>
        <v>rokprognozy=2050 i lp=33</v>
      </c>
    </row>
    <row r="37" spans="1:42" ht="24">
      <c r="A37" s="8">
        <v>34</v>
      </c>
      <c r="B37" s="36" t="s">
        <v>137</v>
      </c>
      <c r="C37" s="45" t="s">
        <v>138</v>
      </c>
      <c r="D37" s="24" t="str">
        <f t="shared" si="6"/>
        <v>rokprognozy=2012 i lp=34</v>
      </c>
      <c r="E37" s="24" t="str">
        <f t="shared" si="6"/>
        <v>rokprognozy=2013 i lp=34</v>
      </c>
      <c r="F37" s="35" t="str">
        <f t="shared" si="6"/>
        <v>rokprognozy=2014 i lp=34</v>
      </c>
      <c r="G37" s="35" t="str">
        <f t="shared" si="6"/>
        <v>rokprognozy=2015 i lp=34</v>
      </c>
      <c r="H37" s="35" t="str">
        <f t="shared" si="6"/>
        <v>rokprognozy=2016 i lp=34</v>
      </c>
      <c r="I37" s="35" t="str">
        <f t="shared" si="6"/>
        <v>rokprognozy=2017 i lp=34</v>
      </c>
      <c r="J37" s="35" t="str">
        <f t="shared" si="6"/>
        <v>rokprognozy=2018 i lp=34</v>
      </c>
      <c r="K37" s="35" t="str">
        <f t="shared" si="6"/>
        <v>rokprognozy=2019 i lp=34</v>
      </c>
      <c r="L37" s="35" t="str">
        <f t="shared" si="6"/>
        <v>rokprognozy=2020 i lp=34</v>
      </c>
      <c r="M37" s="35" t="str">
        <f t="shared" si="7"/>
        <v>rokprognozy=2021 i lp=34</v>
      </c>
      <c r="N37" s="35" t="str">
        <f t="shared" si="7"/>
        <v>rokprognozy=2022 i lp=34</v>
      </c>
      <c r="O37" s="35" t="str">
        <f t="shared" si="7"/>
        <v>rokprognozy=2023 i lp=34</v>
      </c>
      <c r="P37" s="35" t="str">
        <f t="shared" si="7"/>
        <v>rokprognozy=2024 i lp=34</v>
      </c>
      <c r="Q37" s="35" t="str">
        <f t="shared" si="7"/>
        <v>rokprognozy=2025 i lp=34</v>
      </c>
      <c r="R37" s="35" t="str">
        <f t="shared" si="7"/>
        <v>rokprognozy=2026 i lp=34</v>
      </c>
      <c r="S37" s="35" t="str">
        <f t="shared" si="7"/>
        <v>rokprognozy=2027 i lp=34</v>
      </c>
      <c r="T37" s="35" t="str">
        <f t="shared" si="7"/>
        <v>rokprognozy=2028 i lp=34</v>
      </c>
      <c r="U37" s="35" t="str">
        <f t="shared" si="7"/>
        <v>rokprognozy=2029 i lp=34</v>
      </c>
      <c r="V37" s="35" t="str">
        <f t="shared" si="7"/>
        <v>rokprognozy=2030 i lp=34</v>
      </c>
      <c r="W37" s="35" t="str">
        <f t="shared" si="7"/>
        <v>rokprognozy=2031 i lp=34</v>
      </c>
      <c r="X37" s="35" t="str">
        <f t="shared" si="7"/>
        <v>rokprognozy=2032 i lp=34</v>
      </c>
      <c r="Y37" s="35" t="str">
        <f t="shared" si="7"/>
        <v>rokprognozy=2033 i lp=34</v>
      </c>
      <c r="Z37" s="35" t="str">
        <f t="shared" si="7"/>
        <v>rokprognozy=2034 i lp=34</v>
      </c>
      <c r="AA37" s="35" t="str">
        <f t="shared" si="7"/>
        <v>rokprognozy=2035 i lp=34</v>
      </c>
      <c r="AB37" s="35" t="str">
        <f t="shared" si="7"/>
        <v>rokprognozy=2036 i lp=34</v>
      </c>
      <c r="AC37" s="35" t="str">
        <f t="shared" si="8"/>
        <v>rokprognozy=2037 i lp=34</v>
      </c>
      <c r="AD37" s="35" t="str">
        <f t="shared" si="8"/>
        <v>rokprognozy=2038 i lp=34</v>
      </c>
      <c r="AE37" s="35" t="str">
        <f t="shared" si="8"/>
        <v>rokprognozy=2039 i lp=34</v>
      </c>
      <c r="AF37" s="35" t="str">
        <f t="shared" si="8"/>
        <v>rokprognozy=2040 i lp=34</v>
      </c>
      <c r="AG37" s="35" t="str">
        <f t="shared" si="8"/>
        <v>rokprognozy=2041 i lp=34</v>
      </c>
      <c r="AH37" s="35" t="str">
        <f t="shared" si="8"/>
        <v>rokprognozy=2042 i lp=34</v>
      </c>
      <c r="AI37" s="35" t="str">
        <f t="shared" si="8"/>
        <v>rokprognozy=2043 i lp=34</v>
      </c>
      <c r="AJ37" s="35" t="str">
        <f t="shared" si="8"/>
        <v>rokprognozy=2044 i lp=34</v>
      </c>
      <c r="AK37" s="35" t="str">
        <f t="shared" si="8"/>
        <v>rokprognozy=2045 i lp=34</v>
      </c>
      <c r="AL37" s="35" t="str">
        <f t="shared" si="8"/>
        <v>rokprognozy=2046 i lp=34</v>
      </c>
      <c r="AM37" s="35" t="str">
        <f t="shared" si="8"/>
        <v>rokprognozy=2047 i lp=34</v>
      </c>
      <c r="AN37" s="35" t="str">
        <f t="shared" si="8"/>
        <v>rokprognozy=2048 i lp=34</v>
      </c>
      <c r="AO37" s="35" t="str">
        <f t="shared" si="8"/>
        <v>rokprognozy=2049 i lp=34</v>
      </c>
      <c r="AP37" s="35" t="str">
        <f t="shared" si="8"/>
        <v>rokprognozy=2050 i lp=34</v>
      </c>
    </row>
    <row r="38" spans="1:42">
      <c r="A38" s="8">
        <v>35</v>
      </c>
      <c r="B38" s="36">
        <v>14</v>
      </c>
      <c r="C38" s="45" t="s">
        <v>68</v>
      </c>
      <c r="D38" s="24" t="str">
        <f t="shared" si="6"/>
        <v>rokprognozy=2012 i lp=35</v>
      </c>
      <c r="E38" s="24" t="str">
        <f t="shared" si="6"/>
        <v>rokprognozy=2013 i lp=35</v>
      </c>
      <c r="F38" s="35" t="str">
        <f t="shared" si="6"/>
        <v>rokprognozy=2014 i lp=35</v>
      </c>
      <c r="G38" s="35" t="str">
        <f t="shared" si="6"/>
        <v>rokprognozy=2015 i lp=35</v>
      </c>
      <c r="H38" s="35" t="str">
        <f t="shared" si="6"/>
        <v>rokprognozy=2016 i lp=35</v>
      </c>
      <c r="I38" s="35" t="str">
        <f t="shared" si="6"/>
        <v>rokprognozy=2017 i lp=35</v>
      </c>
      <c r="J38" s="35" t="str">
        <f t="shared" si="6"/>
        <v>rokprognozy=2018 i lp=35</v>
      </c>
      <c r="K38" s="35" t="str">
        <f t="shared" si="6"/>
        <v>rokprognozy=2019 i lp=35</v>
      </c>
      <c r="L38" s="35" t="str">
        <f t="shared" si="6"/>
        <v>rokprognozy=2020 i lp=35</v>
      </c>
      <c r="M38" s="35" t="str">
        <f t="shared" si="7"/>
        <v>rokprognozy=2021 i lp=35</v>
      </c>
      <c r="N38" s="35" t="str">
        <f t="shared" si="7"/>
        <v>rokprognozy=2022 i lp=35</v>
      </c>
      <c r="O38" s="35" t="str">
        <f t="shared" si="7"/>
        <v>rokprognozy=2023 i lp=35</v>
      </c>
      <c r="P38" s="35" t="str">
        <f t="shared" si="7"/>
        <v>rokprognozy=2024 i lp=35</v>
      </c>
      <c r="Q38" s="35" t="str">
        <f t="shared" si="7"/>
        <v>rokprognozy=2025 i lp=35</v>
      </c>
      <c r="R38" s="35" t="str">
        <f t="shared" si="7"/>
        <v>rokprognozy=2026 i lp=35</v>
      </c>
      <c r="S38" s="35" t="str">
        <f t="shared" si="7"/>
        <v>rokprognozy=2027 i lp=35</v>
      </c>
      <c r="T38" s="35" t="str">
        <f t="shared" si="7"/>
        <v>rokprognozy=2028 i lp=35</v>
      </c>
      <c r="U38" s="35" t="str">
        <f t="shared" si="7"/>
        <v>rokprognozy=2029 i lp=35</v>
      </c>
      <c r="V38" s="35" t="str">
        <f t="shared" si="7"/>
        <v>rokprognozy=2030 i lp=35</v>
      </c>
      <c r="W38" s="35" t="str">
        <f t="shared" si="7"/>
        <v>rokprognozy=2031 i lp=35</v>
      </c>
      <c r="X38" s="35" t="str">
        <f t="shared" si="7"/>
        <v>rokprognozy=2032 i lp=35</v>
      </c>
      <c r="Y38" s="35" t="str">
        <f t="shared" si="7"/>
        <v>rokprognozy=2033 i lp=35</v>
      </c>
      <c r="Z38" s="35" t="str">
        <f t="shared" si="7"/>
        <v>rokprognozy=2034 i lp=35</v>
      </c>
      <c r="AA38" s="35" t="str">
        <f t="shared" si="7"/>
        <v>rokprognozy=2035 i lp=35</v>
      </c>
      <c r="AB38" s="35" t="str">
        <f t="shared" si="7"/>
        <v>rokprognozy=2036 i lp=35</v>
      </c>
      <c r="AC38" s="35" t="str">
        <f t="shared" si="8"/>
        <v>rokprognozy=2037 i lp=35</v>
      </c>
      <c r="AD38" s="35" t="str">
        <f t="shared" si="8"/>
        <v>rokprognozy=2038 i lp=35</v>
      </c>
      <c r="AE38" s="35" t="str">
        <f t="shared" si="8"/>
        <v>rokprognozy=2039 i lp=35</v>
      </c>
      <c r="AF38" s="35" t="str">
        <f t="shared" si="8"/>
        <v>rokprognozy=2040 i lp=35</v>
      </c>
      <c r="AG38" s="35" t="str">
        <f t="shared" si="8"/>
        <v>rokprognozy=2041 i lp=35</v>
      </c>
      <c r="AH38" s="35" t="str">
        <f t="shared" si="8"/>
        <v>rokprognozy=2042 i lp=35</v>
      </c>
      <c r="AI38" s="35" t="str">
        <f t="shared" si="8"/>
        <v>rokprognozy=2043 i lp=35</v>
      </c>
      <c r="AJ38" s="35" t="str">
        <f t="shared" si="8"/>
        <v>rokprognozy=2044 i lp=35</v>
      </c>
      <c r="AK38" s="35" t="str">
        <f t="shared" si="8"/>
        <v>rokprognozy=2045 i lp=35</v>
      </c>
      <c r="AL38" s="35" t="str">
        <f t="shared" si="8"/>
        <v>rokprognozy=2046 i lp=35</v>
      </c>
      <c r="AM38" s="35" t="str">
        <f t="shared" si="8"/>
        <v>rokprognozy=2047 i lp=35</v>
      </c>
      <c r="AN38" s="35" t="str">
        <f t="shared" si="8"/>
        <v>rokprognozy=2048 i lp=35</v>
      </c>
      <c r="AO38" s="35" t="str">
        <f t="shared" si="8"/>
        <v>rokprognozy=2049 i lp=35</v>
      </c>
      <c r="AP38" s="35" t="str">
        <f t="shared" si="8"/>
        <v>rokprognozy=2050 i lp=35</v>
      </c>
    </row>
    <row r="39" spans="1:42" ht="36">
      <c r="A39" s="8">
        <v>36</v>
      </c>
      <c r="B39" s="36">
        <v>15</v>
      </c>
      <c r="C39" s="45" t="s">
        <v>139</v>
      </c>
      <c r="D39" s="24" t="str">
        <f t="shared" si="6"/>
        <v>rokprognozy=2012 i lp=36</v>
      </c>
      <c r="E39" s="24" t="str">
        <f t="shared" si="6"/>
        <v>rokprognozy=2013 i lp=36</v>
      </c>
      <c r="F39" s="35" t="str">
        <f t="shared" si="6"/>
        <v>rokprognozy=2014 i lp=36</v>
      </c>
      <c r="G39" s="35" t="str">
        <f t="shared" si="6"/>
        <v>rokprognozy=2015 i lp=36</v>
      </c>
      <c r="H39" s="35" t="str">
        <f t="shared" si="6"/>
        <v>rokprognozy=2016 i lp=36</v>
      </c>
      <c r="I39" s="35" t="str">
        <f t="shared" si="6"/>
        <v>rokprognozy=2017 i lp=36</v>
      </c>
      <c r="J39" s="35" t="str">
        <f t="shared" si="6"/>
        <v>rokprognozy=2018 i lp=36</v>
      </c>
      <c r="K39" s="35" t="str">
        <f t="shared" si="6"/>
        <v>rokprognozy=2019 i lp=36</v>
      </c>
      <c r="L39" s="35" t="str">
        <f t="shared" si="6"/>
        <v>rokprognozy=2020 i lp=36</v>
      </c>
      <c r="M39" s="35" t="str">
        <f t="shared" si="7"/>
        <v>rokprognozy=2021 i lp=36</v>
      </c>
      <c r="N39" s="35" t="str">
        <f t="shared" si="7"/>
        <v>rokprognozy=2022 i lp=36</v>
      </c>
      <c r="O39" s="35" t="str">
        <f t="shared" si="7"/>
        <v>rokprognozy=2023 i lp=36</v>
      </c>
      <c r="P39" s="35" t="str">
        <f t="shared" si="7"/>
        <v>rokprognozy=2024 i lp=36</v>
      </c>
      <c r="Q39" s="35" t="str">
        <f t="shared" si="7"/>
        <v>rokprognozy=2025 i lp=36</v>
      </c>
      <c r="R39" s="35" t="str">
        <f t="shared" si="7"/>
        <v>rokprognozy=2026 i lp=36</v>
      </c>
      <c r="S39" s="35" t="str">
        <f t="shared" si="7"/>
        <v>rokprognozy=2027 i lp=36</v>
      </c>
      <c r="T39" s="35" t="str">
        <f t="shared" si="7"/>
        <v>rokprognozy=2028 i lp=36</v>
      </c>
      <c r="U39" s="35" t="str">
        <f t="shared" si="7"/>
        <v>rokprognozy=2029 i lp=36</v>
      </c>
      <c r="V39" s="35" t="str">
        <f t="shared" si="7"/>
        <v>rokprognozy=2030 i lp=36</v>
      </c>
      <c r="W39" s="35" t="str">
        <f t="shared" si="7"/>
        <v>rokprognozy=2031 i lp=36</v>
      </c>
      <c r="X39" s="35" t="str">
        <f t="shared" si="7"/>
        <v>rokprognozy=2032 i lp=36</v>
      </c>
      <c r="Y39" s="35" t="str">
        <f t="shared" si="7"/>
        <v>rokprognozy=2033 i lp=36</v>
      </c>
      <c r="Z39" s="35" t="str">
        <f t="shared" si="7"/>
        <v>rokprognozy=2034 i lp=36</v>
      </c>
      <c r="AA39" s="35" t="str">
        <f t="shared" si="7"/>
        <v>rokprognozy=2035 i lp=36</v>
      </c>
      <c r="AB39" s="35" t="str">
        <f t="shared" si="7"/>
        <v>rokprognozy=2036 i lp=36</v>
      </c>
      <c r="AC39" s="35" t="str">
        <f t="shared" si="8"/>
        <v>rokprognozy=2037 i lp=36</v>
      </c>
      <c r="AD39" s="35" t="str">
        <f t="shared" si="8"/>
        <v>rokprognozy=2038 i lp=36</v>
      </c>
      <c r="AE39" s="35" t="str">
        <f t="shared" si="8"/>
        <v>rokprognozy=2039 i lp=36</v>
      </c>
      <c r="AF39" s="35" t="str">
        <f t="shared" si="8"/>
        <v>rokprognozy=2040 i lp=36</v>
      </c>
      <c r="AG39" s="35" t="str">
        <f t="shared" si="8"/>
        <v>rokprognozy=2041 i lp=36</v>
      </c>
      <c r="AH39" s="35" t="str">
        <f t="shared" si="8"/>
        <v>rokprognozy=2042 i lp=36</v>
      </c>
      <c r="AI39" s="35" t="str">
        <f t="shared" si="8"/>
        <v>rokprognozy=2043 i lp=36</v>
      </c>
      <c r="AJ39" s="35" t="str">
        <f t="shared" si="8"/>
        <v>rokprognozy=2044 i lp=36</v>
      </c>
      <c r="AK39" s="35" t="str">
        <f t="shared" si="8"/>
        <v>rokprognozy=2045 i lp=36</v>
      </c>
      <c r="AL39" s="35" t="str">
        <f t="shared" si="8"/>
        <v>rokprognozy=2046 i lp=36</v>
      </c>
      <c r="AM39" s="35" t="str">
        <f t="shared" si="8"/>
        <v>rokprognozy=2047 i lp=36</v>
      </c>
      <c r="AN39" s="35" t="str">
        <f t="shared" si="8"/>
        <v>rokprognozy=2048 i lp=36</v>
      </c>
      <c r="AO39" s="35" t="str">
        <f t="shared" si="8"/>
        <v>rokprognozy=2049 i lp=36</v>
      </c>
      <c r="AP39" s="35" t="str">
        <f t="shared" si="8"/>
        <v>rokprognozy=2050 i lp=36</v>
      </c>
    </row>
    <row r="40" spans="1:42" ht="24">
      <c r="A40" s="8">
        <v>37</v>
      </c>
      <c r="B40" s="36">
        <v>16</v>
      </c>
      <c r="C40" s="45" t="s">
        <v>140</v>
      </c>
      <c r="D40" s="24" t="str">
        <f t="shared" si="6"/>
        <v>rokprognozy=2012 i lp=37</v>
      </c>
      <c r="E40" s="24" t="str">
        <f t="shared" si="6"/>
        <v>rokprognozy=2013 i lp=37</v>
      </c>
      <c r="F40" s="35" t="str">
        <f t="shared" si="6"/>
        <v>rokprognozy=2014 i lp=37</v>
      </c>
      <c r="G40" s="35" t="str">
        <f t="shared" si="6"/>
        <v>rokprognozy=2015 i lp=37</v>
      </c>
      <c r="H40" s="35" t="str">
        <f t="shared" si="6"/>
        <v>rokprognozy=2016 i lp=37</v>
      </c>
      <c r="I40" s="35" t="str">
        <f t="shared" si="6"/>
        <v>rokprognozy=2017 i lp=37</v>
      </c>
      <c r="J40" s="35" t="str">
        <f t="shared" si="6"/>
        <v>rokprognozy=2018 i lp=37</v>
      </c>
      <c r="K40" s="35" t="str">
        <f t="shared" si="6"/>
        <v>rokprognozy=2019 i lp=37</v>
      </c>
      <c r="L40" s="35" t="str">
        <f t="shared" si="6"/>
        <v>rokprognozy=2020 i lp=37</v>
      </c>
      <c r="M40" s="35" t="str">
        <f t="shared" si="7"/>
        <v>rokprognozy=2021 i lp=37</v>
      </c>
      <c r="N40" s="35" t="str">
        <f t="shared" si="7"/>
        <v>rokprognozy=2022 i lp=37</v>
      </c>
      <c r="O40" s="35" t="str">
        <f t="shared" si="7"/>
        <v>rokprognozy=2023 i lp=37</v>
      </c>
      <c r="P40" s="35" t="str">
        <f t="shared" si="7"/>
        <v>rokprognozy=2024 i lp=37</v>
      </c>
      <c r="Q40" s="35" t="str">
        <f t="shared" si="7"/>
        <v>rokprognozy=2025 i lp=37</v>
      </c>
      <c r="R40" s="35" t="str">
        <f t="shared" si="7"/>
        <v>rokprognozy=2026 i lp=37</v>
      </c>
      <c r="S40" s="35" t="str">
        <f t="shared" si="7"/>
        <v>rokprognozy=2027 i lp=37</v>
      </c>
      <c r="T40" s="35" t="str">
        <f t="shared" si="7"/>
        <v>rokprognozy=2028 i lp=37</v>
      </c>
      <c r="U40" s="35" t="str">
        <f t="shared" si="7"/>
        <v>rokprognozy=2029 i lp=37</v>
      </c>
      <c r="V40" s="35" t="str">
        <f t="shared" si="7"/>
        <v>rokprognozy=2030 i lp=37</v>
      </c>
      <c r="W40" s="35" t="str">
        <f t="shared" si="7"/>
        <v>rokprognozy=2031 i lp=37</v>
      </c>
      <c r="X40" s="35" t="str">
        <f t="shared" si="7"/>
        <v>rokprognozy=2032 i lp=37</v>
      </c>
      <c r="Y40" s="35" t="str">
        <f t="shared" si="7"/>
        <v>rokprognozy=2033 i lp=37</v>
      </c>
      <c r="Z40" s="35" t="str">
        <f t="shared" si="7"/>
        <v>rokprognozy=2034 i lp=37</v>
      </c>
      <c r="AA40" s="35" t="str">
        <f t="shared" si="7"/>
        <v>rokprognozy=2035 i lp=37</v>
      </c>
      <c r="AB40" s="35" t="str">
        <f t="shared" si="7"/>
        <v>rokprognozy=2036 i lp=37</v>
      </c>
      <c r="AC40" s="35" t="str">
        <f t="shared" si="8"/>
        <v>rokprognozy=2037 i lp=37</v>
      </c>
      <c r="AD40" s="35" t="str">
        <f t="shared" si="8"/>
        <v>rokprognozy=2038 i lp=37</v>
      </c>
      <c r="AE40" s="35" t="str">
        <f t="shared" si="8"/>
        <v>rokprognozy=2039 i lp=37</v>
      </c>
      <c r="AF40" s="35" t="str">
        <f t="shared" si="8"/>
        <v>rokprognozy=2040 i lp=37</v>
      </c>
      <c r="AG40" s="35" t="str">
        <f t="shared" si="8"/>
        <v>rokprognozy=2041 i lp=37</v>
      </c>
      <c r="AH40" s="35" t="str">
        <f t="shared" si="8"/>
        <v>rokprognozy=2042 i lp=37</v>
      </c>
      <c r="AI40" s="35" t="str">
        <f t="shared" si="8"/>
        <v>rokprognozy=2043 i lp=37</v>
      </c>
      <c r="AJ40" s="35" t="str">
        <f t="shared" si="8"/>
        <v>rokprognozy=2044 i lp=37</v>
      </c>
      <c r="AK40" s="35" t="str">
        <f t="shared" si="8"/>
        <v>rokprognozy=2045 i lp=37</v>
      </c>
      <c r="AL40" s="35" t="str">
        <f t="shared" si="8"/>
        <v>rokprognozy=2046 i lp=37</v>
      </c>
      <c r="AM40" s="35" t="str">
        <f t="shared" si="8"/>
        <v>rokprognozy=2047 i lp=37</v>
      </c>
      <c r="AN40" s="35" t="str">
        <f t="shared" si="8"/>
        <v>rokprognozy=2048 i lp=37</v>
      </c>
      <c r="AO40" s="35" t="str">
        <f t="shared" si="8"/>
        <v>rokprognozy=2049 i lp=37</v>
      </c>
      <c r="AP40" s="35" t="str">
        <f t="shared" si="8"/>
        <v>rokprognozy=2050 i lp=37</v>
      </c>
    </row>
    <row r="41" spans="1:42">
      <c r="A41" s="8">
        <v>38</v>
      </c>
      <c r="B41" s="36">
        <v>17</v>
      </c>
      <c r="C41" s="45" t="s">
        <v>91</v>
      </c>
      <c r="D41" s="24" t="str">
        <f t="shared" si="6"/>
        <v>rokprognozy=2012 i lp=38</v>
      </c>
      <c r="E41" s="24" t="str">
        <f t="shared" si="6"/>
        <v>rokprognozy=2013 i lp=38</v>
      </c>
      <c r="F41" s="35" t="str">
        <f t="shared" si="6"/>
        <v>rokprognozy=2014 i lp=38</v>
      </c>
      <c r="G41" s="35" t="str">
        <f t="shared" si="6"/>
        <v>rokprognozy=2015 i lp=38</v>
      </c>
      <c r="H41" s="35" t="str">
        <f t="shared" si="6"/>
        <v>rokprognozy=2016 i lp=38</v>
      </c>
      <c r="I41" s="35" t="str">
        <f t="shared" si="6"/>
        <v>rokprognozy=2017 i lp=38</v>
      </c>
      <c r="J41" s="35" t="str">
        <f t="shared" si="6"/>
        <v>rokprognozy=2018 i lp=38</v>
      </c>
      <c r="K41" s="35" t="str">
        <f t="shared" si="6"/>
        <v>rokprognozy=2019 i lp=38</v>
      </c>
      <c r="L41" s="35" t="str">
        <f t="shared" si="6"/>
        <v>rokprognozy=2020 i lp=38</v>
      </c>
      <c r="M41" s="35" t="str">
        <f t="shared" si="7"/>
        <v>rokprognozy=2021 i lp=38</v>
      </c>
      <c r="N41" s="35" t="str">
        <f t="shared" si="7"/>
        <v>rokprognozy=2022 i lp=38</v>
      </c>
      <c r="O41" s="35" t="str">
        <f t="shared" si="7"/>
        <v>rokprognozy=2023 i lp=38</v>
      </c>
      <c r="P41" s="35" t="str">
        <f t="shared" si="7"/>
        <v>rokprognozy=2024 i lp=38</v>
      </c>
      <c r="Q41" s="35" t="str">
        <f t="shared" si="7"/>
        <v>rokprognozy=2025 i lp=38</v>
      </c>
      <c r="R41" s="35" t="str">
        <f t="shared" si="7"/>
        <v>rokprognozy=2026 i lp=38</v>
      </c>
      <c r="S41" s="35" t="str">
        <f t="shared" si="7"/>
        <v>rokprognozy=2027 i lp=38</v>
      </c>
      <c r="T41" s="35" t="str">
        <f t="shared" si="7"/>
        <v>rokprognozy=2028 i lp=38</v>
      </c>
      <c r="U41" s="35" t="str">
        <f t="shared" si="7"/>
        <v>rokprognozy=2029 i lp=38</v>
      </c>
      <c r="V41" s="35" t="str">
        <f t="shared" si="7"/>
        <v>rokprognozy=2030 i lp=38</v>
      </c>
      <c r="W41" s="35" t="str">
        <f t="shared" si="7"/>
        <v>rokprognozy=2031 i lp=38</v>
      </c>
      <c r="X41" s="35" t="str">
        <f t="shared" si="7"/>
        <v>rokprognozy=2032 i lp=38</v>
      </c>
      <c r="Y41" s="35" t="str">
        <f t="shared" si="7"/>
        <v>rokprognozy=2033 i lp=38</v>
      </c>
      <c r="Z41" s="35" t="str">
        <f t="shared" si="7"/>
        <v>rokprognozy=2034 i lp=38</v>
      </c>
      <c r="AA41" s="35" t="str">
        <f t="shared" si="7"/>
        <v>rokprognozy=2035 i lp=38</v>
      </c>
      <c r="AB41" s="35" t="str">
        <f t="shared" si="7"/>
        <v>rokprognozy=2036 i lp=38</v>
      </c>
      <c r="AC41" s="35" t="str">
        <f t="shared" si="8"/>
        <v>rokprognozy=2037 i lp=38</v>
      </c>
      <c r="AD41" s="35" t="str">
        <f t="shared" si="8"/>
        <v>rokprognozy=2038 i lp=38</v>
      </c>
      <c r="AE41" s="35" t="str">
        <f t="shared" si="8"/>
        <v>rokprognozy=2039 i lp=38</v>
      </c>
      <c r="AF41" s="35" t="str">
        <f t="shared" si="8"/>
        <v>rokprognozy=2040 i lp=38</v>
      </c>
      <c r="AG41" s="35" t="str">
        <f t="shared" si="8"/>
        <v>rokprognozy=2041 i lp=38</v>
      </c>
      <c r="AH41" s="35" t="str">
        <f t="shared" si="8"/>
        <v>rokprognozy=2042 i lp=38</v>
      </c>
      <c r="AI41" s="35" t="str">
        <f t="shared" si="8"/>
        <v>rokprognozy=2043 i lp=38</v>
      </c>
      <c r="AJ41" s="35" t="str">
        <f t="shared" si="8"/>
        <v>rokprognozy=2044 i lp=38</v>
      </c>
      <c r="AK41" s="35" t="str">
        <f t="shared" si="8"/>
        <v>rokprognozy=2045 i lp=38</v>
      </c>
      <c r="AL41" s="35" t="str">
        <f t="shared" si="8"/>
        <v>rokprognozy=2046 i lp=38</v>
      </c>
      <c r="AM41" s="35" t="str">
        <f t="shared" si="8"/>
        <v>rokprognozy=2047 i lp=38</v>
      </c>
      <c r="AN41" s="35" t="str">
        <f t="shared" si="8"/>
        <v>rokprognozy=2048 i lp=38</v>
      </c>
      <c r="AO41" s="35" t="str">
        <f t="shared" si="8"/>
        <v>rokprognozy=2049 i lp=38</v>
      </c>
      <c r="AP41" s="35" t="str">
        <f t="shared" si="8"/>
        <v>rokprognozy=2050 i lp=38</v>
      </c>
    </row>
    <row r="42" spans="1:42">
      <c r="A42" s="8">
        <v>39</v>
      </c>
      <c r="B42" s="36" t="s">
        <v>141</v>
      </c>
      <c r="C42" s="45" t="s">
        <v>142</v>
      </c>
      <c r="D42" s="24" t="str">
        <f t="shared" si="6"/>
        <v>rokprognozy=2012 i lp=39</v>
      </c>
      <c r="E42" s="24" t="str">
        <f t="shared" si="6"/>
        <v>rokprognozy=2013 i lp=39</v>
      </c>
      <c r="F42" s="35" t="str">
        <f t="shared" si="6"/>
        <v>rokprognozy=2014 i lp=39</v>
      </c>
      <c r="G42" s="35" t="str">
        <f t="shared" si="6"/>
        <v>rokprognozy=2015 i lp=39</v>
      </c>
      <c r="H42" s="35" t="str">
        <f t="shared" si="6"/>
        <v>rokprognozy=2016 i lp=39</v>
      </c>
      <c r="I42" s="35" t="str">
        <f t="shared" si="6"/>
        <v>rokprognozy=2017 i lp=39</v>
      </c>
      <c r="J42" s="35" t="str">
        <f t="shared" si="6"/>
        <v>rokprognozy=2018 i lp=39</v>
      </c>
      <c r="K42" s="35" t="str">
        <f t="shared" si="6"/>
        <v>rokprognozy=2019 i lp=39</v>
      </c>
      <c r="L42" s="35" t="str">
        <f t="shared" si="6"/>
        <v>rokprognozy=2020 i lp=39</v>
      </c>
      <c r="M42" s="35" t="str">
        <f t="shared" si="7"/>
        <v>rokprognozy=2021 i lp=39</v>
      </c>
      <c r="N42" s="35" t="str">
        <f t="shared" si="7"/>
        <v>rokprognozy=2022 i lp=39</v>
      </c>
      <c r="O42" s="35" t="str">
        <f t="shared" si="7"/>
        <v>rokprognozy=2023 i lp=39</v>
      </c>
      <c r="P42" s="35" t="str">
        <f t="shared" si="7"/>
        <v>rokprognozy=2024 i lp=39</v>
      </c>
      <c r="Q42" s="35" t="str">
        <f t="shared" si="7"/>
        <v>rokprognozy=2025 i lp=39</v>
      </c>
      <c r="R42" s="35" t="str">
        <f t="shared" si="7"/>
        <v>rokprognozy=2026 i lp=39</v>
      </c>
      <c r="S42" s="35" t="str">
        <f t="shared" si="7"/>
        <v>rokprognozy=2027 i lp=39</v>
      </c>
      <c r="T42" s="35" t="str">
        <f t="shared" si="7"/>
        <v>rokprognozy=2028 i lp=39</v>
      </c>
      <c r="U42" s="35" t="str">
        <f t="shared" si="7"/>
        <v>rokprognozy=2029 i lp=39</v>
      </c>
      <c r="V42" s="35" t="str">
        <f t="shared" si="7"/>
        <v>rokprognozy=2030 i lp=39</v>
      </c>
      <c r="W42" s="35" t="str">
        <f t="shared" si="7"/>
        <v>rokprognozy=2031 i lp=39</v>
      </c>
      <c r="X42" s="35" t="str">
        <f t="shared" si="7"/>
        <v>rokprognozy=2032 i lp=39</v>
      </c>
      <c r="Y42" s="35" t="str">
        <f t="shared" si="7"/>
        <v>rokprognozy=2033 i lp=39</v>
      </c>
      <c r="Z42" s="35" t="str">
        <f t="shared" si="7"/>
        <v>rokprognozy=2034 i lp=39</v>
      </c>
      <c r="AA42" s="35" t="str">
        <f t="shared" si="7"/>
        <v>rokprognozy=2035 i lp=39</v>
      </c>
      <c r="AB42" s="35" t="str">
        <f t="shared" si="7"/>
        <v>rokprognozy=2036 i lp=39</v>
      </c>
      <c r="AC42" s="35" t="str">
        <f t="shared" si="8"/>
        <v>rokprognozy=2037 i lp=39</v>
      </c>
      <c r="AD42" s="35" t="str">
        <f t="shared" si="8"/>
        <v>rokprognozy=2038 i lp=39</v>
      </c>
      <c r="AE42" s="35" t="str">
        <f t="shared" si="8"/>
        <v>rokprognozy=2039 i lp=39</v>
      </c>
      <c r="AF42" s="35" t="str">
        <f t="shared" si="8"/>
        <v>rokprognozy=2040 i lp=39</v>
      </c>
      <c r="AG42" s="35" t="str">
        <f t="shared" si="8"/>
        <v>rokprognozy=2041 i lp=39</v>
      </c>
      <c r="AH42" s="35" t="str">
        <f t="shared" si="8"/>
        <v>rokprognozy=2042 i lp=39</v>
      </c>
      <c r="AI42" s="35" t="str">
        <f t="shared" si="8"/>
        <v>rokprognozy=2043 i lp=39</v>
      </c>
      <c r="AJ42" s="35" t="str">
        <f t="shared" si="8"/>
        <v>rokprognozy=2044 i lp=39</v>
      </c>
      <c r="AK42" s="35" t="str">
        <f t="shared" si="8"/>
        <v>rokprognozy=2045 i lp=39</v>
      </c>
      <c r="AL42" s="35" t="str">
        <f t="shared" si="8"/>
        <v>rokprognozy=2046 i lp=39</v>
      </c>
      <c r="AM42" s="35" t="str">
        <f t="shared" si="8"/>
        <v>rokprognozy=2047 i lp=39</v>
      </c>
      <c r="AN42" s="35" t="str">
        <f t="shared" si="8"/>
        <v>rokprognozy=2048 i lp=39</v>
      </c>
      <c r="AO42" s="35" t="str">
        <f t="shared" si="8"/>
        <v>rokprognozy=2049 i lp=39</v>
      </c>
      <c r="AP42" s="35" t="str">
        <f t="shared" si="8"/>
        <v>rokprognozy=2050 i lp=39</v>
      </c>
    </row>
    <row r="43" spans="1:42">
      <c r="A43" s="8">
        <v>40</v>
      </c>
      <c r="B43" s="36">
        <v>18</v>
      </c>
      <c r="C43" s="45" t="s">
        <v>69</v>
      </c>
      <c r="D43" s="24" t="str">
        <f t="shared" si="6"/>
        <v>rokprognozy=2012 i lp=40</v>
      </c>
      <c r="E43" s="24" t="str">
        <f t="shared" si="6"/>
        <v>rokprognozy=2013 i lp=40</v>
      </c>
      <c r="F43" s="35" t="str">
        <f t="shared" si="6"/>
        <v>rokprognozy=2014 i lp=40</v>
      </c>
      <c r="G43" s="35" t="str">
        <f t="shared" si="6"/>
        <v>rokprognozy=2015 i lp=40</v>
      </c>
      <c r="H43" s="35" t="str">
        <f t="shared" si="6"/>
        <v>rokprognozy=2016 i lp=40</v>
      </c>
      <c r="I43" s="35" t="str">
        <f t="shared" si="6"/>
        <v>rokprognozy=2017 i lp=40</v>
      </c>
      <c r="J43" s="35" t="str">
        <f t="shared" si="6"/>
        <v>rokprognozy=2018 i lp=40</v>
      </c>
      <c r="K43" s="35" t="str">
        <f t="shared" si="6"/>
        <v>rokprognozy=2019 i lp=40</v>
      </c>
      <c r="L43" s="35" t="str">
        <f t="shared" si="6"/>
        <v>rokprognozy=2020 i lp=40</v>
      </c>
      <c r="M43" s="35" t="str">
        <f t="shared" si="7"/>
        <v>rokprognozy=2021 i lp=40</v>
      </c>
      <c r="N43" s="35" t="str">
        <f t="shared" si="7"/>
        <v>rokprognozy=2022 i lp=40</v>
      </c>
      <c r="O43" s="35" t="str">
        <f t="shared" si="7"/>
        <v>rokprognozy=2023 i lp=40</v>
      </c>
      <c r="P43" s="35" t="str">
        <f t="shared" si="7"/>
        <v>rokprognozy=2024 i lp=40</v>
      </c>
      <c r="Q43" s="35" t="str">
        <f t="shared" si="7"/>
        <v>rokprognozy=2025 i lp=40</v>
      </c>
      <c r="R43" s="35" t="str">
        <f t="shared" si="7"/>
        <v>rokprognozy=2026 i lp=40</v>
      </c>
      <c r="S43" s="35" t="str">
        <f t="shared" si="7"/>
        <v>rokprognozy=2027 i lp=40</v>
      </c>
      <c r="T43" s="35" t="str">
        <f t="shared" si="7"/>
        <v>rokprognozy=2028 i lp=40</v>
      </c>
      <c r="U43" s="35" t="str">
        <f t="shared" si="7"/>
        <v>rokprognozy=2029 i lp=40</v>
      </c>
      <c r="V43" s="35" t="str">
        <f t="shared" si="7"/>
        <v>rokprognozy=2030 i lp=40</v>
      </c>
      <c r="W43" s="35" t="str">
        <f t="shared" si="7"/>
        <v>rokprognozy=2031 i lp=40</v>
      </c>
      <c r="X43" s="35" t="str">
        <f t="shared" si="7"/>
        <v>rokprognozy=2032 i lp=40</v>
      </c>
      <c r="Y43" s="35" t="str">
        <f t="shared" si="7"/>
        <v>rokprognozy=2033 i lp=40</v>
      </c>
      <c r="Z43" s="35" t="str">
        <f t="shared" si="7"/>
        <v>rokprognozy=2034 i lp=40</v>
      </c>
      <c r="AA43" s="35" t="str">
        <f t="shared" si="7"/>
        <v>rokprognozy=2035 i lp=40</v>
      </c>
      <c r="AB43" s="35" t="str">
        <f t="shared" si="7"/>
        <v>rokprognozy=2036 i lp=40</v>
      </c>
      <c r="AC43" s="35" t="str">
        <f t="shared" si="8"/>
        <v>rokprognozy=2037 i lp=40</v>
      </c>
      <c r="AD43" s="35" t="str">
        <f t="shared" si="8"/>
        <v>rokprognozy=2038 i lp=40</v>
      </c>
      <c r="AE43" s="35" t="str">
        <f t="shared" si="8"/>
        <v>rokprognozy=2039 i lp=40</v>
      </c>
      <c r="AF43" s="35" t="str">
        <f t="shared" si="8"/>
        <v>rokprognozy=2040 i lp=40</v>
      </c>
      <c r="AG43" s="35" t="str">
        <f t="shared" si="8"/>
        <v>rokprognozy=2041 i lp=40</v>
      </c>
      <c r="AH43" s="35" t="str">
        <f t="shared" si="8"/>
        <v>rokprognozy=2042 i lp=40</v>
      </c>
      <c r="AI43" s="35" t="str">
        <f t="shared" si="8"/>
        <v>rokprognozy=2043 i lp=40</v>
      </c>
      <c r="AJ43" s="35" t="str">
        <f t="shared" si="8"/>
        <v>rokprognozy=2044 i lp=40</v>
      </c>
      <c r="AK43" s="35" t="str">
        <f t="shared" si="8"/>
        <v>rokprognozy=2045 i lp=40</v>
      </c>
      <c r="AL43" s="35" t="str">
        <f t="shared" si="8"/>
        <v>rokprognozy=2046 i lp=40</v>
      </c>
      <c r="AM43" s="35" t="str">
        <f t="shared" si="8"/>
        <v>rokprognozy=2047 i lp=40</v>
      </c>
      <c r="AN43" s="35" t="str">
        <f t="shared" si="8"/>
        <v>rokprognozy=2048 i lp=40</v>
      </c>
      <c r="AO43" s="35" t="str">
        <f t="shared" si="8"/>
        <v>rokprognozy=2049 i lp=40</v>
      </c>
      <c r="AP43" s="35" t="str">
        <f t="shared" si="8"/>
        <v>rokprognozy=2050 i lp=40</v>
      </c>
    </row>
    <row r="44" spans="1:42" ht="24">
      <c r="A44" s="8">
        <v>41</v>
      </c>
      <c r="B44" s="36" t="s">
        <v>143</v>
      </c>
      <c r="C44" s="45" t="s">
        <v>71</v>
      </c>
      <c r="D44" s="24" t="str">
        <f t="shared" si="6"/>
        <v>rokprognozy=2012 i lp=41</v>
      </c>
      <c r="E44" s="24" t="str">
        <f t="shared" si="6"/>
        <v>rokprognozy=2013 i lp=41</v>
      </c>
      <c r="F44" s="35" t="str">
        <f t="shared" si="6"/>
        <v>rokprognozy=2014 i lp=41</v>
      </c>
      <c r="G44" s="35" t="str">
        <f t="shared" si="6"/>
        <v>rokprognozy=2015 i lp=41</v>
      </c>
      <c r="H44" s="35" t="str">
        <f t="shared" si="6"/>
        <v>rokprognozy=2016 i lp=41</v>
      </c>
      <c r="I44" s="35" t="str">
        <f t="shared" si="6"/>
        <v>rokprognozy=2017 i lp=41</v>
      </c>
      <c r="J44" s="35" t="str">
        <f t="shared" si="6"/>
        <v>rokprognozy=2018 i lp=41</v>
      </c>
      <c r="K44" s="35" t="str">
        <f t="shared" si="6"/>
        <v>rokprognozy=2019 i lp=41</v>
      </c>
      <c r="L44" s="35" t="str">
        <f t="shared" si="6"/>
        <v>rokprognozy=2020 i lp=41</v>
      </c>
      <c r="M44" s="35" t="str">
        <f t="shared" si="7"/>
        <v>rokprognozy=2021 i lp=41</v>
      </c>
      <c r="N44" s="35" t="str">
        <f t="shared" si="7"/>
        <v>rokprognozy=2022 i lp=41</v>
      </c>
      <c r="O44" s="35" t="str">
        <f t="shared" si="7"/>
        <v>rokprognozy=2023 i lp=41</v>
      </c>
      <c r="P44" s="35" t="str">
        <f t="shared" si="7"/>
        <v>rokprognozy=2024 i lp=41</v>
      </c>
      <c r="Q44" s="35" t="str">
        <f t="shared" si="7"/>
        <v>rokprognozy=2025 i lp=41</v>
      </c>
      <c r="R44" s="35" t="str">
        <f t="shared" si="7"/>
        <v>rokprognozy=2026 i lp=41</v>
      </c>
      <c r="S44" s="35" t="str">
        <f t="shared" si="7"/>
        <v>rokprognozy=2027 i lp=41</v>
      </c>
      <c r="T44" s="35" t="str">
        <f t="shared" si="7"/>
        <v>rokprognozy=2028 i lp=41</v>
      </c>
      <c r="U44" s="35" t="str">
        <f t="shared" si="7"/>
        <v>rokprognozy=2029 i lp=41</v>
      </c>
      <c r="V44" s="35" t="str">
        <f t="shared" si="7"/>
        <v>rokprognozy=2030 i lp=41</v>
      </c>
      <c r="W44" s="35" t="str">
        <f t="shared" si="7"/>
        <v>rokprognozy=2031 i lp=41</v>
      </c>
      <c r="X44" s="35" t="str">
        <f t="shared" si="7"/>
        <v>rokprognozy=2032 i lp=41</v>
      </c>
      <c r="Y44" s="35" t="str">
        <f t="shared" si="7"/>
        <v>rokprognozy=2033 i lp=41</v>
      </c>
      <c r="Z44" s="35" t="str">
        <f t="shared" si="7"/>
        <v>rokprognozy=2034 i lp=41</v>
      </c>
      <c r="AA44" s="35" t="str">
        <f t="shared" si="7"/>
        <v>rokprognozy=2035 i lp=41</v>
      </c>
      <c r="AB44" s="35" t="str">
        <f t="shared" si="7"/>
        <v>rokprognozy=2036 i lp=41</v>
      </c>
      <c r="AC44" s="35" t="str">
        <f t="shared" si="8"/>
        <v>rokprognozy=2037 i lp=41</v>
      </c>
      <c r="AD44" s="35" t="str">
        <f t="shared" si="8"/>
        <v>rokprognozy=2038 i lp=41</v>
      </c>
      <c r="AE44" s="35" t="str">
        <f t="shared" si="8"/>
        <v>rokprognozy=2039 i lp=41</v>
      </c>
      <c r="AF44" s="35" t="str">
        <f t="shared" si="8"/>
        <v>rokprognozy=2040 i lp=41</v>
      </c>
      <c r="AG44" s="35" t="str">
        <f t="shared" si="8"/>
        <v>rokprognozy=2041 i lp=41</v>
      </c>
      <c r="AH44" s="35" t="str">
        <f t="shared" si="8"/>
        <v>rokprognozy=2042 i lp=41</v>
      </c>
      <c r="AI44" s="35" t="str">
        <f t="shared" si="8"/>
        <v>rokprognozy=2043 i lp=41</v>
      </c>
      <c r="AJ44" s="35" t="str">
        <f t="shared" si="8"/>
        <v>rokprognozy=2044 i lp=41</v>
      </c>
      <c r="AK44" s="35" t="str">
        <f t="shared" si="8"/>
        <v>rokprognozy=2045 i lp=41</v>
      </c>
      <c r="AL44" s="35" t="str">
        <f t="shared" si="8"/>
        <v>rokprognozy=2046 i lp=41</v>
      </c>
      <c r="AM44" s="35" t="str">
        <f t="shared" si="8"/>
        <v>rokprognozy=2047 i lp=41</v>
      </c>
      <c r="AN44" s="35" t="str">
        <f t="shared" si="8"/>
        <v>rokprognozy=2048 i lp=41</v>
      </c>
      <c r="AO44" s="35" t="str">
        <f t="shared" si="8"/>
        <v>rokprognozy=2049 i lp=41</v>
      </c>
      <c r="AP44" s="35" t="str">
        <f t="shared" si="8"/>
        <v>rokprognozy=2050 i lp=41</v>
      </c>
    </row>
    <row r="45" spans="1:42" ht="24">
      <c r="A45" s="8">
        <v>42</v>
      </c>
      <c r="B45" s="36">
        <v>19</v>
      </c>
      <c r="C45" s="45" t="s">
        <v>72</v>
      </c>
      <c r="D45" s="24" t="str">
        <f t="shared" si="6"/>
        <v>rokprognozy=2012 i lp=42</v>
      </c>
      <c r="E45" s="24" t="str">
        <f t="shared" si="6"/>
        <v>rokprognozy=2013 i lp=42</v>
      </c>
      <c r="F45" s="35" t="str">
        <f t="shared" si="6"/>
        <v>rokprognozy=2014 i lp=42</v>
      </c>
      <c r="G45" s="35" t="str">
        <f t="shared" si="6"/>
        <v>rokprognozy=2015 i lp=42</v>
      </c>
      <c r="H45" s="35" t="str">
        <f t="shared" si="6"/>
        <v>rokprognozy=2016 i lp=42</v>
      </c>
      <c r="I45" s="35" t="str">
        <f t="shared" si="6"/>
        <v>rokprognozy=2017 i lp=42</v>
      </c>
      <c r="J45" s="35" t="str">
        <f t="shared" si="6"/>
        <v>rokprognozy=2018 i lp=42</v>
      </c>
      <c r="K45" s="35" t="str">
        <f t="shared" si="6"/>
        <v>rokprognozy=2019 i lp=42</v>
      </c>
      <c r="L45" s="35" t="str">
        <f t="shared" si="6"/>
        <v>rokprognozy=2020 i lp=42</v>
      </c>
      <c r="M45" s="35" t="str">
        <f t="shared" si="7"/>
        <v>rokprognozy=2021 i lp=42</v>
      </c>
      <c r="N45" s="35" t="str">
        <f t="shared" si="7"/>
        <v>rokprognozy=2022 i lp=42</v>
      </c>
      <c r="O45" s="35" t="str">
        <f t="shared" si="7"/>
        <v>rokprognozy=2023 i lp=42</v>
      </c>
      <c r="P45" s="35" t="str">
        <f t="shared" si="7"/>
        <v>rokprognozy=2024 i lp=42</v>
      </c>
      <c r="Q45" s="35" t="str">
        <f t="shared" si="7"/>
        <v>rokprognozy=2025 i lp=42</v>
      </c>
      <c r="R45" s="35" t="str">
        <f t="shared" si="7"/>
        <v>rokprognozy=2026 i lp=42</v>
      </c>
      <c r="S45" s="35" t="str">
        <f t="shared" si="7"/>
        <v>rokprognozy=2027 i lp=42</v>
      </c>
      <c r="T45" s="35" t="str">
        <f t="shared" si="7"/>
        <v>rokprognozy=2028 i lp=42</v>
      </c>
      <c r="U45" s="35" t="str">
        <f t="shared" si="7"/>
        <v>rokprognozy=2029 i lp=42</v>
      </c>
      <c r="V45" s="35" t="str">
        <f t="shared" si="7"/>
        <v>rokprognozy=2030 i lp=42</v>
      </c>
      <c r="W45" s="35" t="str">
        <f t="shared" si="7"/>
        <v>rokprognozy=2031 i lp=42</v>
      </c>
      <c r="X45" s="35" t="str">
        <f t="shared" si="7"/>
        <v>rokprognozy=2032 i lp=42</v>
      </c>
      <c r="Y45" s="35" t="str">
        <f t="shared" si="7"/>
        <v>rokprognozy=2033 i lp=42</v>
      </c>
      <c r="Z45" s="35" t="str">
        <f t="shared" si="7"/>
        <v>rokprognozy=2034 i lp=42</v>
      </c>
      <c r="AA45" s="35" t="str">
        <f t="shared" si="7"/>
        <v>rokprognozy=2035 i lp=42</v>
      </c>
      <c r="AB45" s="35" t="str">
        <f t="shared" si="7"/>
        <v>rokprognozy=2036 i lp=42</v>
      </c>
      <c r="AC45" s="35" t="str">
        <f t="shared" si="8"/>
        <v>rokprognozy=2037 i lp=42</v>
      </c>
      <c r="AD45" s="35" t="str">
        <f t="shared" si="8"/>
        <v>rokprognozy=2038 i lp=42</v>
      </c>
      <c r="AE45" s="35" t="str">
        <f t="shared" si="8"/>
        <v>rokprognozy=2039 i lp=42</v>
      </c>
      <c r="AF45" s="35" t="str">
        <f t="shared" si="8"/>
        <v>rokprognozy=2040 i lp=42</v>
      </c>
      <c r="AG45" s="35" t="str">
        <f t="shared" si="8"/>
        <v>rokprognozy=2041 i lp=42</v>
      </c>
      <c r="AH45" s="35" t="str">
        <f t="shared" si="8"/>
        <v>rokprognozy=2042 i lp=42</v>
      </c>
      <c r="AI45" s="35" t="str">
        <f t="shared" si="8"/>
        <v>rokprognozy=2043 i lp=42</v>
      </c>
      <c r="AJ45" s="35" t="str">
        <f t="shared" si="8"/>
        <v>rokprognozy=2044 i lp=42</v>
      </c>
      <c r="AK45" s="35" t="str">
        <f t="shared" si="8"/>
        <v>rokprognozy=2045 i lp=42</v>
      </c>
      <c r="AL45" s="35" t="str">
        <f t="shared" si="8"/>
        <v>rokprognozy=2046 i lp=42</v>
      </c>
      <c r="AM45" s="35" t="str">
        <f t="shared" si="8"/>
        <v>rokprognozy=2047 i lp=42</v>
      </c>
      <c r="AN45" s="35" t="str">
        <f t="shared" si="8"/>
        <v>rokprognozy=2048 i lp=42</v>
      </c>
      <c r="AO45" s="35" t="str">
        <f t="shared" si="8"/>
        <v>rokprognozy=2049 i lp=42</v>
      </c>
      <c r="AP45" s="35" t="str">
        <f t="shared" si="8"/>
        <v>rokprognozy=2050 i lp=42</v>
      </c>
    </row>
    <row r="46" spans="1:42" ht="24">
      <c r="A46" s="8">
        <v>43</v>
      </c>
      <c r="B46" s="36" t="s">
        <v>144</v>
      </c>
      <c r="C46" s="45" t="s">
        <v>74</v>
      </c>
      <c r="D46" s="24" t="str">
        <f t="shared" ref="D46:L60" si="9">+"rokprognozy="&amp;D$3&amp;" i lp="&amp;$A46</f>
        <v>rokprognozy=2012 i lp=43</v>
      </c>
      <c r="E46" s="24" t="str">
        <f t="shared" si="9"/>
        <v>rokprognozy=2013 i lp=43</v>
      </c>
      <c r="F46" s="35" t="str">
        <f t="shared" si="9"/>
        <v>rokprognozy=2014 i lp=43</v>
      </c>
      <c r="G46" s="35" t="str">
        <f t="shared" si="9"/>
        <v>rokprognozy=2015 i lp=43</v>
      </c>
      <c r="H46" s="35" t="str">
        <f t="shared" si="9"/>
        <v>rokprognozy=2016 i lp=43</v>
      </c>
      <c r="I46" s="35" t="str">
        <f t="shared" si="9"/>
        <v>rokprognozy=2017 i lp=43</v>
      </c>
      <c r="J46" s="35" t="str">
        <f t="shared" si="9"/>
        <v>rokprognozy=2018 i lp=43</v>
      </c>
      <c r="K46" s="35" t="str">
        <f t="shared" si="9"/>
        <v>rokprognozy=2019 i lp=43</v>
      </c>
      <c r="L46" s="35" t="str">
        <f t="shared" si="9"/>
        <v>rokprognozy=2020 i lp=43</v>
      </c>
      <c r="M46" s="35" t="str">
        <f t="shared" si="7"/>
        <v>rokprognozy=2021 i lp=43</v>
      </c>
      <c r="N46" s="35" t="str">
        <f t="shared" si="7"/>
        <v>rokprognozy=2022 i lp=43</v>
      </c>
      <c r="O46" s="35" t="str">
        <f t="shared" si="7"/>
        <v>rokprognozy=2023 i lp=43</v>
      </c>
      <c r="P46" s="35" t="str">
        <f t="shared" si="7"/>
        <v>rokprognozy=2024 i lp=43</v>
      </c>
      <c r="Q46" s="35" t="str">
        <f t="shared" si="7"/>
        <v>rokprognozy=2025 i lp=43</v>
      </c>
      <c r="R46" s="35" t="str">
        <f t="shared" si="7"/>
        <v>rokprognozy=2026 i lp=43</v>
      </c>
      <c r="S46" s="35" t="str">
        <f t="shared" si="7"/>
        <v>rokprognozy=2027 i lp=43</v>
      </c>
      <c r="T46" s="35" t="str">
        <f t="shared" si="7"/>
        <v>rokprognozy=2028 i lp=43</v>
      </c>
      <c r="U46" s="35" t="str">
        <f t="shared" si="7"/>
        <v>rokprognozy=2029 i lp=43</v>
      </c>
      <c r="V46" s="35" t="str">
        <f t="shared" si="7"/>
        <v>rokprognozy=2030 i lp=43</v>
      </c>
      <c r="W46" s="35" t="str">
        <f t="shared" si="7"/>
        <v>rokprognozy=2031 i lp=43</v>
      </c>
      <c r="X46" s="35" t="str">
        <f t="shared" si="7"/>
        <v>rokprognozy=2032 i lp=43</v>
      </c>
      <c r="Y46" s="35" t="str">
        <f t="shared" si="7"/>
        <v>rokprognozy=2033 i lp=43</v>
      </c>
      <c r="Z46" s="35" t="str">
        <f t="shared" si="7"/>
        <v>rokprognozy=2034 i lp=43</v>
      </c>
      <c r="AA46" s="35" t="str">
        <f t="shared" si="7"/>
        <v>rokprognozy=2035 i lp=43</v>
      </c>
      <c r="AB46" s="35" t="str">
        <f t="shared" si="7"/>
        <v>rokprognozy=2036 i lp=43</v>
      </c>
      <c r="AC46" s="35" t="str">
        <f t="shared" si="8"/>
        <v>rokprognozy=2037 i lp=43</v>
      </c>
      <c r="AD46" s="35" t="str">
        <f t="shared" si="8"/>
        <v>rokprognozy=2038 i lp=43</v>
      </c>
      <c r="AE46" s="35" t="str">
        <f t="shared" si="8"/>
        <v>rokprognozy=2039 i lp=43</v>
      </c>
      <c r="AF46" s="35" t="str">
        <f t="shared" si="8"/>
        <v>rokprognozy=2040 i lp=43</v>
      </c>
      <c r="AG46" s="35" t="str">
        <f t="shared" si="8"/>
        <v>rokprognozy=2041 i lp=43</v>
      </c>
      <c r="AH46" s="35" t="str">
        <f t="shared" si="8"/>
        <v>rokprognozy=2042 i lp=43</v>
      </c>
      <c r="AI46" s="35" t="str">
        <f t="shared" si="8"/>
        <v>rokprognozy=2043 i lp=43</v>
      </c>
      <c r="AJ46" s="35" t="str">
        <f t="shared" si="8"/>
        <v>rokprognozy=2044 i lp=43</v>
      </c>
      <c r="AK46" s="35" t="str">
        <f t="shared" si="8"/>
        <v>rokprognozy=2045 i lp=43</v>
      </c>
      <c r="AL46" s="35" t="str">
        <f t="shared" si="8"/>
        <v>rokprognozy=2046 i lp=43</v>
      </c>
      <c r="AM46" s="35" t="str">
        <f t="shared" si="8"/>
        <v>rokprognozy=2047 i lp=43</v>
      </c>
      <c r="AN46" s="35" t="str">
        <f t="shared" si="8"/>
        <v>rokprognozy=2048 i lp=43</v>
      </c>
      <c r="AO46" s="35" t="str">
        <f t="shared" si="8"/>
        <v>rokprognozy=2049 i lp=43</v>
      </c>
      <c r="AP46" s="35" t="str">
        <f t="shared" si="8"/>
        <v>rokprognozy=2050 i lp=43</v>
      </c>
    </row>
    <row r="47" spans="1:42">
      <c r="A47" s="8">
        <v>44</v>
      </c>
      <c r="B47" s="36">
        <v>20</v>
      </c>
      <c r="C47" s="45" t="s">
        <v>145</v>
      </c>
      <c r="D47" s="24" t="str">
        <f t="shared" si="9"/>
        <v>rokprognozy=2012 i lp=44</v>
      </c>
      <c r="E47" s="24" t="str">
        <f t="shared" si="9"/>
        <v>rokprognozy=2013 i lp=44</v>
      </c>
      <c r="F47" s="35" t="str">
        <f t="shared" si="9"/>
        <v>rokprognozy=2014 i lp=44</v>
      </c>
      <c r="G47" s="35" t="str">
        <f t="shared" si="9"/>
        <v>rokprognozy=2015 i lp=44</v>
      </c>
      <c r="H47" s="35" t="str">
        <f t="shared" si="9"/>
        <v>rokprognozy=2016 i lp=44</v>
      </c>
      <c r="I47" s="35" t="str">
        <f t="shared" si="9"/>
        <v>rokprognozy=2017 i lp=44</v>
      </c>
      <c r="J47" s="35" t="str">
        <f t="shared" si="9"/>
        <v>rokprognozy=2018 i lp=44</v>
      </c>
      <c r="K47" s="35" t="str">
        <f t="shared" si="9"/>
        <v>rokprognozy=2019 i lp=44</v>
      </c>
      <c r="L47" s="35" t="str">
        <f t="shared" si="9"/>
        <v>rokprognozy=2020 i lp=44</v>
      </c>
      <c r="M47" s="35" t="str">
        <f t="shared" si="7"/>
        <v>rokprognozy=2021 i lp=44</v>
      </c>
      <c r="N47" s="35" t="str">
        <f t="shared" si="7"/>
        <v>rokprognozy=2022 i lp=44</v>
      </c>
      <c r="O47" s="35" t="str">
        <f t="shared" si="7"/>
        <v>rokprognozy=2023 i lp=44</v>
      </c>
      <c r="P47" s="35" t="str">
        <f t="shared" si="7"/>
        <v>rokprognozy=2024 i lp=44</v>
      </c>
      <c r="Q47" s="35" t="str">
        <f t="shared" si="7"/>
        <v>rokprognozy=2025 i lp=44</v>
      </c>
      <c r="R47" s="35" t="str">
        <f t="shared" si="7"/>
        <v>rokprognozy=2026 i lp=44</v>
      </c>
      <c r="S47" s="35" t="str">
        <f t="shared" si="7"/>
        <v>rokprognozy=2027 i lp=44</v>
      </c>
      <c r="T47" s="35" t="str">
        <f t="shared" si="7"/>
        <v>rokprognozy=2028 i lp=44</v>
      </c>
      <c r="U47" s="35" t="str">
        <f t="shared" si="7"/>
        <v>rokprognozy=2029 i lp=44</v>
      </c>
      <c r="V47" s="35" t="str">
        <f t="shared" si="7"/>
        <v>rokprognozy=2030 i lp=44</v>
      </c>
      <c r="W47" s="35" t="str">
        <f t="shared" si="7"/>
        <v>rokprognozy=2031 i lp=44</v>
      </c>
      <c r="X47" s="35" t="str">
        <f t="shared" si="7"/>
        <v>rokprognozy=2032 i lp=44</v>
      </c>
      <c r="Y47" s="35" t="str">
        <f t="shared" si="7"/>
        <v>rokprognozy=2033 i lp=44</v>
      </c>
      <c r="Z47" s="35" t="str">
        <f t="shared" si="7"/>
        <v>rokprognozy=2034 i lp=44</v>
      </c>
      <c r="AA47" s="35" t="str">
        <f t="shared" si="7"/>
        <v>rokprognozy=2035 i lp=44</v>
      </c>
      <c r="AB47" s="35" t="str">
        <f t="shared" si="7"/>
        <v>rokprognozy=2036 i lp=44</v>
      </c>
      <c r="AC47" s="35" t="str">
        <f t="shared" si="8"/>
        <v>rokprognozy=2037 i lp=44</v>
      </c>
      <c r="AD47" s="35" t="str">
        <f t="shared" si="8"/>
        <v>rokprognozy=2038 i lp=44</v>
      </c>
      <c r="AE47" s="35" t="str">
        <f t="shared" si="8"/>
        <v>rokprognozy=2039 i lp=44</v>
      </c>
      <c r="AF47" s="35" t="str">
        <f t="shared" si="8"/>
        <v>rokprognozy=2040 i lp=44</v>
      </c>
      <c r="AG47" s="35" t="str">
        <f t="shared" si="8"/>
        <v>rokprognozy=2041 i lp=44</v>
      </c>
      <c r="AH47" s="35" t="str">
        <f t="shared" si="8"/>
        <v>rokprognozy=2042 i lp=44</v>
      </c>
      <c r="AI47" s="35" t="str">
        <f t="shared" si="8"/>
        <v>rokprognozy=2043 i lp=44</v>
      </c>
      <c r="AJ47" s="35" t="str">
        <f t="shared" si="8"/>
        <v>rokprognozy=2044 i lp=44</v>
      </c>
      <c r="AK47" s="35" t="str">
        <f t="shared" si="8"/>
        <v>rokprognozy=2045 i lp=44</v>
      </c>
      <c r="AL47" s="35" t="str">
        <f t="shared" si="8"/>
        <v>rokprognozy=2046 i lp=44</v>
      </c>
      <c r="AM47" s="35" t="str">
        <f t="shared" si="8"/>
        <v>rokprognozy=2047 i lp=44</v>
      </c>
      <c r="AN47" s="35" t="str">
        <f t="shared" si="8"/>
        <v>rokprognozy=2048 i lp=44</v>
      </c>
      <c r="AO47" s="35" t="str">
        <f t="shared" si="8"/>
        <v>rokprognozy=2049 i lp=44</v>
      </c>
      <c r="AP47" s="35" t="str">
        <f t="shared" si="8"/>
        <v>rokprognozy=2050 i lp=44</v>
      </c>
    </row>
    <row r="48" spans="1:42">
      <c r="A48" s="8">
        <v>45</v>
      </c>
      <c r="B48" s="36" t="s">
        <v>146</v>
      </c>
      <c r="C48" s="45" t="s">
        <v>53</v>
      </c>
      <c r="D48" s="24" t="str">
        <f t="shared" si="9"/>
        <v>rokprognozy=2012 i lp=45</v>
      </c>
      <c r="E48" s="24" t="str">
        <f t="shared" si="9"/>
        <v>rokprognozy=2013 i lp=45</v>
      </c>
      <c r="F48" s="35" t="str">
        <f t="shared" si="9"/>
        <v>rokprognozy=2014 i lp=45</v>
      </c>
      <c r="G48" s="35" t="str">
        <f t="shared" si="9"/>
        <v>rokprognozy=2015 i lp=45</v>
      </c>
      <c r="H48" s="35" t="str">
        <f t="shared" si="9"/>
        <v>rokprognozy=2016 i lp=45</v>
      </c>
      <c r="I48" s="35" t="str">
        <f t="shared" si="9"/>
        <v>rokprognozy=2017 i lp=45</v>
      </c>
      <c r="J48" s="35" t="str">
        <f t="shared" si="9"/>
        <v>rokprognozy=2018 i lp=45</v>
      </c>
      <c r="K48" s="35" t="str">
        <f t="shared" si="9"/>
        <v>rokprognozy=2019 i lp=45</v>
      </c>
      <c r="L48" s="35" t="str">
        <f t="shared" si="9"/>
        <v>rokprognozy=2020 i lp=45</v>
      </c>
      <c r="M48" s="35" t="str">
        <f t="shared" si="7"/>
        <v>rokprognozy=2021 i lp=45</v>
      </c>
      <c r="N48" s="35" t="str">
        <f t="shared" si="7"/>
        <v>rokprognozy=2022 i lp=45</v>
      </c>
      <c r="O48" s="35" t="str">
        <f t="shared" si="7"/>
        <v>rokprognozy=2023 i lp=45</v>
      </c>
      <c r="P48" s="35" t="str">
        <f t="shared" si="7"/>
        <v>rokprognozy=2024 i lp=45</v>
      </c>
      <c r="Q48" s="35" t="str">
        <f t="shared" si="7"/>
        <v>rokprognozy=2025 i lp=45</v>
      </c>
      <c r="R48" s="35" t="str">
        <f t="shared" si="7"/>
        <v>rokprognozy=2026 i lp=45</v>
      </c>
      <c r="S48" s="35" t="str">
        <f t="shared" si="7"/>
        <v>rokprognozy=2027 i lp=45</v>
      </c>
      <c r="T48" s="35" t="str">
        <f t="shared" si="7"/>
        <v>rokprognozy=2028 i lp=45</v>
      </c>
      <c r="U48" s="35" t="str">
        <f t="shared" si="7"/>
        <v>rokprognozy=2029 i lp=45</v>
      </c>
      <c r="V48" s="35" t="str">
        <f t="shared" si="7"/>
        <v>rokprognozy=2030 i lp=45</v>
      </c>
      <c r="W48" s="35" t="str">
        <f t="shared" si="7"/>
        <v>rokprognozy=2031 i lp=45</v>
      </c>
      <c r="X48" s="35" t="str">
        <f t="shared" si="7"/>
        <v>rokprognozy=2032 i lp=45</v>
      </c>
      <c r="Y48" s="35" t="str">
        <f t="shared" si="7"/>
        <v>rokprognozy=2033 i lp=45</v>
      </c>
      <c r="Z48" s="35" t="str">
        <f t="shared" si="7"/>
        <v>rokprognozy=2034 i lp=45</v>
      </c>
      <c r="AA48" s="35" t="str">
        <f t="shared" si="7"/>
        <v>rokprognozy=2035 i lp=45</v>
      </c>
      <c r="AB48" s="35" t="str">
        <f t="shared" si="7"/>
        <v>rokprognozy=2036 i lp=45</v>
      </c>
      <c r="AC48" s="35" t="str">
        <f t="shared" si="8"/>
        <v>rokprognozy=2037 i lp=45</v>
      </c>
      <c r="AD48" s="35" t="str">
        <f t="shared" si="8"/>
        <v>rokprognozy=2038 i lp=45</v>
      </c>
      <c r="AE48" s="35" t="str">
        <f t="shared" si="8"/>
        <v>rokprognozy=2039 i lp=45</v>
      </c>
      <c r="AF48" s="35" t="str">
        <f t="shared" si="8"/>
        <v>rokprognozy=2040 i lp=45</v>
      </c>
      <c r="AG48" s="35" t="str">
        <f t="shared" si="8"/>
        <v>rokprognozy=2041 i lp=45</v>
      </c>
      <c r="AH48" s="35" t="str">
        <f t="shared" si="8"/>
        <v>rokprognozy=2042 i lp=45</v>
      </c>
      <c r="AI48" s="35" t="str">
        <f t="shared" si="8"/>
        <v>rokprognozy=2043 i lp=45</v>
      </c>
      <c r="AJ48" s="35" t="str">
        <f t="shared" si="8"/>
        <v>rokprognozy=2044 i lp=45</v>
      </c>
      <c r="AK48" s="35" t="str">
        <f t="shared" si="8"/>
        <v>rokprognozy=2045 i lp=45</v>
      </c>
      <c r="AL48" s="35" t="str">
        <f t="shared" si="8"/>
        <v>rokprognozy=2046 i lp=45</v>
      </c>
      <c r="AM48" s="35" t="str">
        <f t="shared" si="8"/>
        <v>rokprognozy=2047 i lp=45</v>
      </c>
      <c r="AN48" s="35" t="str">
        <f t="shared" si="8"/>
        <v>rokprognozy=2048 i lp=45</v>
      </c>
      <c r="AO48" s="35" t="str">
        <f t="shared" si="8"/>
        <v>rokprognozy=2049 i lp=45</v>
      </c>
      <c r="AP48" s="35" t="str">
        <f t="shared" si="8"/>
        <v>rokprognozy=2050 i lp=45</v>
      </c>
    </row>
    <row r="49" spans="1:42" ht="24">
      <c r="A49" s="8">
        <v>46</v>
      </c>
      <c r="B49" s="36">
        <v>21</v>
      </c>
      <c r="C49" s="45" t="s">
        <v>54</v>
      </c>
      <c r="D49" s="24" t="str">
        <f t="shared" si="9"/>
        <v>rokprognozy=2012 i lp=46</v>
      </c>
      <c r="E49" s="24" t="str">
        <f t="shared" si="9"/>
        <v>rokprognozy=2013 i lp=46</v>
      </c>
      <c r="F49" s="35" t="str">
        <f t="shared" si="9"/>
        <v>rokprognozy=2014 i lp=46</v>
      </c>
      <c r="G49" s="35" t="str">
        <f t="shared" si="9"/>
        <v>rokprognozy=2015 i lp=46</v>
      </c>
      <c r="H49" s="35" t="str">
        <f t="shared" si="9"/>
        <v>rokprognozy=2016 i lp=46</v>
      </c>
      <c r="I49" s="35" t="str">
        <f t="shared" si="9"/>
        <v>rokprognozy=2017 i lp=46</v>
      </c>
      <c r="J49" s="35" t="str">
        <f t="shared" si="9"/>
        <v>rokprognozy=2018 i lp=46</v>
      </c>
      <c r="K49" s="35" t="str">
        <f t="shared" si="9"/>
        <v>rokprognozy=2019 i lp=46</v>
      </c>
      <c r="L49" s="35" t="str">
        <f t="shared" si="9"/>
        <v>rokprognozy=2020 i lp=46</v>
      </c>
      <c r="M49" s="35" t="str">
        <f t="shared" si="7"/>
        <v>rokprognozy=2021 i lp=46</v>
      </c>
      <c r="N49" s="35" t="str">
        <f t="shared" si="7"/>
        <v>rokprognozy=2022 i lp=46</v>
      </c>
      <c r="O49" s="35" t="str">
        <f t="shared" si="7"/>
        <v>rokprognozy=2023 i lp=46</v>
      </c>
      <c r="P49" s="35" t="str">
        <f t="shared" si="7"/>
        <v>rokprognozy=2024 i lp=46</v>
      </c>
      <c r="Q49" s="35" t="str">
        <f t="shared" si="7"/>
        <v>rokprognozy=2025 i lp=46</v>
      </c>
      <c r="R49" s="35" t="str">
        <f t="shared" si="7"/>
        <v>rokprognozy=2026 i lp=46</v>
      </c>
      <c r="S49" s="35" t="str">
        <f t="shared" ref="M49:AB60" si="10">+"rokprognozy="&amp;S$3&amp;" i lp="&amp;$A49</f>
        <v>rokprognozy=2027 i lp=46</v>
      </c>
      <c r="T49" s="35" t="str">
        <f t="shared" si="10"/>
        <v>rokprognozy=2028 i lp=46</v>
      </c>
      <c r="U49" s="35" t="str">
        <f t="shared" si="10"/>
        <v>rokprognozy=2029 i lp=46</v>
      </c>
      <c r="V49" s="35" t="str">
        <f t="shared" si="10"/>
        <v>rokprognozy=2030 i lp=46</v>
      </c>
      <c r="W49" s="35" t="str">
        <f t="shared" si="10"/>
        <v>rokprognozy=2031 i lp=46</v>
      </c>
      <c r="X49" s="35" t="str">
        <f t="shared" si="10"/>
        <v>rokprognozy=2032 i lp=46</v>
      </c>
      <c r="Y49" s="35" t="str">
        <f t="shared" si="10"/>
        <v>rokprognozy=2033 i lp=46</v>
      </c>
      <c r="Z49" s="35" t="str">
        <f t="shared" si="10"/>
        <v>rokprognozy=2034 i lp=46</v>
      </c>
      <c r="AA49" s="35" t="str">
        <f t="shared" si="10"/>
        <v>rokprognozy=2035 i lp=46</v>
      </c>
      <c r="AB49" s="35" t="str">
        <f t="shared" si="10"/>
        <v>rokprognozy=2036 i lp=46</v>
      </c>
      <c r="AC49" s="35" t="str">
        <f t="shared" si="8"/>
        <v>rokprognozy=2037 i lp=46</v>
      </c>
      <c r="AD49" s="35" t="str">
        <f t="shared" si="8"/>
        <v>rokprognozy=2038 i lp=46</v>
      </c>
      <c r="AE49" s="35" t="str">
        <f t="shared" si="8"/>
        <v>rokprognozy=2039 i lp=46</v>
      </c>
      <c r="AF49" s="35" t="str">
        <f t="shared" si="8"/>
        <v>rokprognozy=2040 i lp=46</v>
      </c>
      <c r="AG49" s="35" t="str">
        <f t="shared" si="8"/>
        <v>rokprognozy=2041 i lp=46</v>
      </c>
      <c r="AH49" s="35" t="str">
        <f t="shared" si="8"/>
        <v>rokprognozy=2042 i lp=46</v>
      </c>
      <c r="AI49" s="35" t="str">
        <f t="shared" si="8"/>
        <v>rokprognozy=2043 i lp=46</v>
      </c>
      <c r="AJ49" s="35" t="str">
        <f t="shared" si="8"/>
        <v>rokprognozy=2044 i lp=46</v>
      </c>
      <c r="AK49" s="35" t="str">
        <f t="shared" si="8"/>
        <v>rokprognozy=2045 i lp=46</v>
      </c>
      <c r="AL49" s="35" t="str">
        <f t="shared" si="8"/>
        <v>rokprognozy=2046 i lp=46</v>
      </c>
      <c r="AM49" s="35" t="str">
        <f t="shared" si="8"/>
        <v>rokprognozy=2047 i lp=46</v>
      </c>
      <c r="AN49" s="35" t="str">
        <f t="shared" si="8"/>
        <v>rokprognozy=2048 i lp=46</v>
      </c>
      <c r="AO49" s="35" t="str">
        <f t="shared" si="8"/>
        <v>rokprognozy=2049 i lp=46</v>
      </c>
      <c r="AP49" s="35" t="str">
        <f t="shared" si="8"/>
        <v>rokprognozy=2050 i lp=46</v>
      </c>
    </row>
    <row r="50" spans="1:42" ht="24">
      <c r="A50" s="8">
        <v>47</v>
      </c>
      <c r="B50" s="36" t="s">
        <v>147</v>
      </c>
      <c r="C50" s="45" t="s">
        <v>76</v>
      </c>
      <c r="D50" s="24" t="str">
        <f t="shared" si="9"/>
        <v>rokprognozy=2012 i lp=47</v>
      </c>
      <c r="E50" s="24" t="str">
        <f t="shared" si="9"/>
        <v>rokprognozy=2013 i lp=47</v>
      </c>
      <c r="F50" s="35" t="str">
        <f t="shared" si="9"/>
        <v>rokprognozy=2014 i lp=47</v>
      </c>
      <c r="G50" s="35" t="str">
        <f t="shared" si="9"/>
        <v>rokprognozy=2015 i lp=47</v>
      </c>
      <c r="H50" s="35" t="str">
        <f t="shared" si="9"/>
        <v>rokprognozy=2016 i lp=47</v>
      </c>
      <c r="I50" s="35" t="str">
        <f t="shared" si="9"/>
        <v>rokprognozy=2017 i lp=47</v>
      </c>
      <c r="J50" s="35" t="str">
        <f t="shared" si="9"/>
        <v>rokprognozy=2018 i lp=47</v>
      </c>
      <c r="K50" s="35" t="str">
        <f t="shared" si="9"/>
        <v>rokprognozy=2019 i lp=47</v>
      </c>
      <c r="L50" s="35" t="str">
        <f t="shared" si="9"/>
        <v>rokprognozy=2020 i lp=47</v>
      </c>
      <c r="M50" s="35" t="str">
        <f t="shared" si="10"/>
        <v>rokprognozy=2021 i lp=47</v>
      </c>
      <c r="N50" s="35" t="str">
        <f t="shared" si="10"/>
        <v>rokprognozy=2022 i lp=47</v>
      </c>
      <c r="O50" s="35" t="str">
        <f t="shared" si="10"/>
        <v>rokprognozy=2023 i lp=47</v>
      </c>
      <c r="P50" s="35" t="str">
        <f t="shared" si="10"/>
        <v>rokprognozy=2024 i lp=47</v>
      </c>
      <c r="Q50" s="35" t="str">
        <f t="shared" si="10"/>
        <v>rokprognozy=2025 i lp=47</v>
      </c>
      <c r="R50" s="35" t="str">
        <f t="shared" si="10"/>
        <v>rokprognozy=2026 i lp=47</v>
      </c>
      <c r="S50" s="35" t="str">
        <f t="shared" si="10"/>
        <v>rokprognozy=2027 i lp=47</v>
      </c>
      <c r="T50" s="35" t="str">
        <f t="shared" si="10"/>
        <v>rokprognozy=2028 i lp=47</v>
      </c>
      <c r="U50" s="35" t="str">
        <f t="shared" si="10"/>
        <v>rokprognozy=2029 i lp=47</v>
      </c>
      <c r="V50" s="35" t="str">
        <f t="shared" si="10"/>
        <v>rokprognozy=2030 i lp=47</v>
      </c>
      <c r="W50" s="35" t="str">
        <f t="shared" si="10"/>
        <v>rokprognozy=2031 i lp=47</v>
      </c>
      <c r="X50" s="35" t="str">
        <f t="shared" si="10"/>
        <v>rokprognozy=2032 i lp=47</v>
      </c>
      <c r="Y50" s="35" t="str">
        <f t="shared" si="10"/>
        <v>rokprognozy=2033 i lp=47</v>
      </c>
      <c r="Z50" s="35" t="str">
        <f t="shared" si="10"/>
        <v>rokprognozy=2034 i lp=47</v>
      </c>
      <c r="AA50" s="35" t="str">
        <f t="shared" si="10"/>
        <v>rokprognozy=2035 i lp=47</v>
      </c>
      <c r="AB50" s="35" t="str">
        <f t="shared" si="10"/>
        <v>rokprognozy=2036 i lp=47</v>
      </c>
      <c r="AC50" s="35" t="str">
        <f t="shared" si="8"/>
        <v>rokprognozy=2037 i lp=47</v>
      </c>
      <c r="AD50" s="35" t="str">
        <f t="shared" si="8"/>
        <v>rokprognozy=2038 i lp=47</v>
      </c>
      <c r="AE50" s="35" t="str">
        <f t="shared" si="8"/>
        <v>rokprognozy=2039 i lp=47</v>
      </c>
      <c r="AF50" s="35" t="str">
        <f t="shared" si="8"/>
        <v>rokprognozy=2040 i lp=47</v>
      </c>
      <c r="AG50" s="35" t="str">
        <f t="shared" si="8"/>
        <v>rokprognozy=2041 i lp=47</v>
      </c>
      <c r="AH50" s="35" t="str">
        <f t="shared" si="8"/>
        <v>rokprognozy=2042 i lp=47</v>
      </c>
      <c r="AI50" s="35" t="str">
        <f t="shared" si="8"/>
        <v>rokprognozy=2043 i lp=47</v>
      </c>
      <c r="AJ50" s="35" t="str">
        <f t="shared" si="8"/>
        <v>rokprognozy=2044 i lp=47</v>
      </c>
      <c r="AK50" s="35" t="str">
        <f t="shared" si="8"/>
        <v>rokprognozy=2045 i lp=47</v>
      </c>
      <c r="AL50" s="35" t="str">
        <f t="shared" si="8"/>
        <v>rokprognozy=2046 i lp=47</v>
      </c>
      <c r="AM50" s="35" t="str">
        <f t="shared" si="8"/>
        <v>rokprognozy=2047 i lp=47</v>
      </c>
      <c r="AN50" s="35" t="str">
        <f t="shared" si="8"/>
        <v>rokprognozy=2048 i lp=47</v>
      </c>
      <c r="AO50" s="35" t="str">
        <f t="shared" si="8"/>
        <v>rokprognozy=2049 i lp=47</v>
      </c>
      <c r="AP50" s="35" t="str">
        <f t="shared" si="8"/>
        <v>rokprognozy=2050 i lp=47</v>
      </c>
    </row>
    <row r="51" spans="1:42" ht="24">
      <c r="A51" s="8">
        <v>48</v>
      </c>
      <c r="B51" s="36">
        <v>22</v>
      </c>
      <c r="C51" s="45" t="s">
        <v>77</v>
      </c>
      <c r="D51" s="24" t="str">
        <f t="shared" si="9"/>
        <v>rokprognozy=2012 i lp=48</v>
      </c>
      <c r="E51" s="24" t="str">
        <f t="shared" si="9"/>
        <v>rokprognozy=2013 i lp=48</v>
      </c>
      <c r="F51" s="35" t="str">
        <f t="shared" si="9"/>
        <v>rokprognozy=2014 i lp=48</v>
      </c>
      <c r="G51" s="35" t="str">
        <f t="shared" si="9"/>
        <v>rokprognozy=2015 i lp=48</v>
      </c>
      <c r="H51" s="35" t="str">
        <f t="shared" si="9"/>
        <v>rokprognozy=2016 i lp=48</v>
      </c>
      <c r="I51" s="35" t="str">
        <f t="shared" si="9"/>
        <v>rokprognozy=2017 i lp=48</v>
      </c>
      <c r="J51" s="35" t="str">
        <f t="shared" si="9"/>
        <v>rokprognozy=2018 i lp=48</v>
      </c>
      <c r="K51" s="35" t="str">
        <f t="shared" si="9"/>
        <v>rokprognozy=2019 i lp=48</v>
      </c>
      <c r="L51" s="35" t="str">
        <f t="shared" si="9"/>
        <v>rokprognozy=2020 i lp=48</v>
      </c>
      <c r="M51" s="35" t="str">
        <f t="shared" si="10"/>
        <v>rokprognozy=2021 i lp=48</v>
      </c>
      <c r="N51" s="35" t="str">
        <f t="shared" si="10"/>
        <v>rokprognozy=2022 i lp=48</v>
      </c>
      <c r="O51" s="35" t="str">
        <f t="shared" si="10"/>
        <v>rokprognozy=2023 i lp=48</v>
      </c>
      <c r="P51" s="35" t="str">
        <f t="shared" si="10"/>
        <v>rokprognozy=2024 i lp=48</v>
      </c>
      <c r="Q51" s="35" t="str">
        <f t="shared" si="10"/>
        <v>rokprognozy=2025 i lp=48</v>
      </c>
      <c r="R51" s="35" t="str">
        <f t="shared" si="10"/>
        <v>rokprognozy=2026 i lp=48</v>
      </c>
      <c r="S51" s="35" t="str">
        <f t="shared" si="10"/>
        <v>rokprognozy=2027 i lp=48</v>
      </c>
      <c r="T51" s="35" t="str">
        <f t="shared" si="10"/>
        <v>rokprognozy=2028 i lp=48</v>
      </c>
      <c r="U51" s="35" t="str">
        <f t="shared" si="10"/>
        <v>rokprognozy=2029 i lp=48</v>
      </c>
      <c r="V51" s="35" t="str">
        <f t="shared" si="10"/>
        <v>rokprognozy=2030 i lp=48</v>
      </c>
      <c r="W51" s="35" t="str">
        <f t="shared" si="10"/>
        <v>rokprognozy=2031 i lp=48</v>
      </c>
      <c r="X51" s="35" t="str">
        <f t="shared" si="10"/>
        <v>rokprognozy=2032 i lp=48</v>
      </c>
      <c r="Y51" s="35" t="str">
        <f t="shared" si="10"/>
        <v>rokprognozy=2033 i lp=48</v>
      </c>
      <c r="Z51" s="35" t="str">
        <f t="shared" si="10"/>
        <v>rokprognozy=2034 i lp=48</v>
      </c>
      <c r="AA51" s="35" t="str">
        <f t="shared" si="10"/>
        <v>rokprognozy=2035 i lp=48</v>
      </c>
      <c r="AB51" s="35" t="str">
        <f t="shared" si="10"/>
        <v>rokprognozy=2036 i lp=48</v>
      </c>
      <c r="AC51" s="35" t="str">
        <f t="shared" si="8"/>
        <v>rokprognozy=2037 i lp=48</v>
      </c>
      <c r="AD51" s="35" t="str">
        <f t="shared" si="8"/>
        <v>rokprognozy=2038 i lp=48</v>
      </c>
      <c r="AE51" s="35" t="str">
        <f t="shared" si="8"/>
        <v>rokprognozy=2039 i lp=48</v>
      </c>
      <c r="AF51" s="35" t="str">
        <f t="shared" si="8"/>
        <v>rokprognozy=2040 i lp=48</v>
      </c>
      <c r="AG51" s="35" t="str">
        <f t="shared" si="8"/>
        <v>rokprognozy=2041 i lp=48</v>
      </c>
      <c r="AH51" s="35" t="str">
        <f t="shared" si="8"/>
        <v>rokprognozy=2042 i lp=48</v>
      </c>
      <c r="AI51" s="35" t="str">
        <f t="shared" si="8"/>
        <v>rokprognozy=2043 i lp=48</v>
      </c>
      <c r="AJ51" s="35" t="str">
        <f t="shared" si="8"/>
        <v>rokprognozy=2044 i lp=48</v>
      </c>
      <c r="AK51" s="35" t="str">
        <f t="shared" si="8"/>
        <v>rokprognozy=2045 i lp=48</v>
      </c>
      <c r="AL51" s="35" t="str">
        <f t="shared" si="8"/>
        <v>rokprognozy=2046 i lp=48</v>
      </c>
      <c r="AM51" s="35" t="str">
        <f t="shared" si="8"/>
        <v>rokprognozy=2047 i lp=48</v>
      </c>
      <c r="AN51" s="35" t="str">
        <f t="shared" si="8"/>
        <v>rokprognozy=2048 i lp=48</v>
      </c>
      <c r="AO51" s="35" t="str">
        <f t="shared" ref="AH51:AP52" si="11">+"rokprognozy="&amp;AO$3&amp;" i lp="&amp;$A51</f>
        <v>rokprognozy=2049 i lp=48</v>
      </c>
      <c r="AP51" s="35" t="str">
        <f t="shared" si="11"/>
        <v>rokprognozy=2050 i lp=48</v>
      </c>
    </row>
    <row r="52" spans="1:42" ht="24">
      <c r="A52" s="8">
        <v>49</v>
      </c>
      <c r="B52" s="36" t="s">
        <v>148</v>
      </c>
      <c r="C52" s="45" t="s">
        <v>79</v>
      </c>
      <c r="D52" s="24" t="str">
        <f t="shared" si="9"/>
        <v>rokprognozy=2012 i lp=49</v>
      </c>
      <c r="E52" s="24" t="str">
        <f t="shared" si="9"/>
        <v>rokprognozy=2013 i lp=49</v>
      </c>
      <c r="F52" s="35" t="str">
        <f t="shared" si="9"/>
        <v>rokprognozy=2014 i lp=49</v>
      </c>
      <c r="G52" s="35" t="str">
        <f t="shared" si="9"/>
        <v>rokprognozy=2015 i lp=49</v>
      </c>
      <c r="H52" s="35" t="str">
        <f t="shared" si="9"/>
        <v>rokprognozy=2016 i lp=49</v>
      </c>
      <c r="I52" s="35" t="str">
        <f t="shared" si="9"/>
        <v>rokprognozy=2017 i lp=49</v>
      </c>
      <c r="J52" s="35" t="str">
        <f t="shared" si="9"/>
        <v>rokprognozy=2018 i lp=49</v>
      </c>
      <c r="K52" s="35" t="str">
        <f t="shared" si="9"/>
        <v>rokprognozy=2019 i lp=49</v>
      </c>
      <c r="L52" s="35" t="str">
        <f t="shared" si="9"/>
        <v>rokprognozy=2020 i lp=49</v>
      </c>
      <c r="M52" s="35" t="str">
        <f t="shared" si="10"/>
        <v>rokprognozy=2021 i lp=49</v>
      </c>
      <c r="N52" s="35" t="str">
        <f t="shared" si="10"/>
        <v>rokprognozy=2022 i lp=49</v>
      </c>
      <c r="O52" s="35" t="str">
        <f t="shared" si="10"/>
        <v>rokprognozy=2023 i lp=49</v>
      </c>
      <c r="P52" s="35" t="str">
        <f t="shared" si="10"/>
        <v>rokprognozy=2024 i lp=49</v>
      </c>
      <c r="Q52" s="35" t="str">
        <f t="shared" si="10"/>
        <v>rokprognozy=2025 i lp=49</v>
      </c>
      <c r="R52" s="35" t="str">
        <f t="shared" si="10"/>
        <v>rokprognozy=2026 i lp=49</v>
      </c>
      <c r="S52" s="35" t="str">
        <f t="shared" si="10"/>
        <v>rokprognozy=2027 i lp=49</v>
      </c>
      <c r="T52" s="35" t="str">
        <f t="shared" si="10"/>
        <v>rokprognozy=2028 i lp=49</v>
      </c>
      <c r="U52" s="35" t="str">
        <f t="shared" si="10"/>
        <v>rokprognozy=2029 i lp=49</v>
      </c>
      <c r="V52" s="35" t="str">
        <f t="shared" si="10"/>
        <v>rokprognozy=2030 i lp=49</v>
      </c>
      <c r="W52" s="35" t="str">
        <f t="shared" si="10"/>
        <v>rokprognozy=2031 i lp=49</v>
      </c>
      <c r="X52" s="35" t="str">
        <f t="shared" si="10"/>
        <v>rokprognozy=2032 i lp=49</v>
      </c>
      <c r="Y52" s="35" t="str">
        <f t="shared" si="10"/>
        <v>rokprognozy=2033 i lp=49</v>
      </c>
      <c r="Z52" s="35" t="str">
        <f t="shared" si="10"/>
        <v>rokprognozy=2034 i lp=49</v>
      </c>
      <c r="AA52" s="35" t="str">
        <f t="shared" si="10"/>
        <v>rokprognozy=2035 i lp=49</v>
      </c>
      <c r="AB52" s="35" t="str">
        <f t="shared" si="10"/>
        <v>rokprognozy=2036 i lp=49</v>
      </c>
      <c r="AC52" s="35" t="str">
        <f t="shared" si="8"/>
        <v>rokprognozy=2037 i lp=49</v>
      </c>
      <c r="AD52" s="35" t="str">
        <f t="shared" si="8"/>
        <v>rokprognozy=2038 i lp=49</v>
      </c>
      <c r="AE52" s="35" t="str">
        <f t="shared" si="8"/>
        <v>rokprognozy=2039 i lp=49</v>
      </c>
      <c r="AF52" s="35" t="str">
        <f t="shared" si="8"/>
        <v>rokprognozy=2040 i lp=49</v>
      </c>
      <c r="AG52" s="35" t="str">
        <f t="shared" si="8"/>
        <v>rokprognozy=2041 i lp=49</v>
      </c>
      <c r="AH52" s="35" t="str">
        <f t="shared" si="11"/>
        <v>rokprognozy=2042 i lp=49</v>
      </c>
      <c r="AI52" s="35" t="str">
        <f t="shared" si="11"/>
        <v>rokprognozy=2043 i lp=49</v>
      </c>
      <c r="AJ52" s="35" t="str">
        <f t="shared" si="11"/>
        <v>rokprognozy=2044 i lp=49</v>
      </c>
      <c r="AK52" s="35" t="str">
        <f t="shared" si="11"/>
        <v>rokprognozy=2045 i lp=49</v>
      </c>
      <c r="AL52" s="35" t="str">
        <f t="shared" si="11"/>
        <v>rokprognozy=2046 i lp=49</v>
      </c>
      <c r="AM52" s="35" t="str">
        <f t="shared" si="11"/>
        <v>rokprognozy=2047 i lp=49</v>
      </c>
      <c r="AN52" s="35" t="str">
        <f t="shared" si="11"/>
        <v>rokprognozy=2048 i lp=49</v>
      </c>
      <c r="AO52" s="35" t="str">
        <f t="shared" si="11"/>
        <v>rokprognozy=2049 i lp=49</v>
      </c>
      <c r="AP52" s="35" t="str">
        <f t="shared" si="11"/>
        <v>rokprognozy=2050 i lp=49</v>
      </c>
    </row>
    <row r="53" spans="1:42">
      <c r="A53" s="8">
        <v>50</v>
      </c>
      <c r="B53" s="36">
        <v>23</v>
      </c>
      <c r="C53" s="45" t="s">
        <v>149</v>
      </c>
      <c r="D53" s="24" t="str">
        <f t="shared" si="9"/>
        <v>rokprognozy=2012 i lp=50</v>
      </c>
      <c r="E53" s="24" t="str">
        <f t="shared" si="9"/>
        <v>rokprognozy=2013 i lp=50</v>
      </c>
      <c r="F53" s="35" t="str">
        <f t="shared" si="9"/>
        <v>rokprognozy=2014 i lp=50</v>
      </c>
      <c r="G53" s="35" t="str">
        <f t="shared" si="9"/>
        <v>rokprognozy=2015 i lp=50</v>
      </c>
      <c r="H53" s="35" t="str">
        <f t="shared" si="9"/>
        <v>rokprognozy=2016 i lp=50</v>
      </c>
      <c r="I53" s="35" t="str">
        <f t="shared" si="9"/>
        <v>rokprognozy=2017 i lp=50</v>
      </c>
      <c r="J53" s="35" t="str">
        <f t="shared" si="9"/>
        <v>rokprognozy=2018 i lp=50</v>
      </c>
      <c r="K53" s="35" t="str">
        <f t="shared" si="9"/>
        <v>rokprognozy=2019 i lp=50</v>
      </c>
      <c r="L53" s="35" t="str">
        <f t="shared" si="9"/>
        <v>rokprognozy=2020 i lp=50</v>
      </c>
      <c r="M53" s="35" t="str">
        <f t="shared" si="10"/>
        <v>rokprognozy=2021 i lp=50</v>
      </c>
      <c r="N53" s="35" t="str">
        <f t="shared" si="10"/>
        <v>rokprognozy=2022 i lp=50</v>
      </c>
      <c r="O53" s="35" t="str">
        <f t="shared" si="10"/>
        <v>rokprognozy=2023 i lp=50</v>
      </c>
      <c r="P53" s="35" t="str">
        <f t="shared" si="10"/>
        <v>rokprognozy=2024 i lp=50</v>
      </c>
      <c r="Q53" s="35" t="str">
        <f t="shared" si="10"/>
        <v>rokprognozy=2025 i lp=50</v>
      </c>
      <c r="R53" s="35" t="str">
        <f t="shared" si="10"/>
        <v>rokprognozy=2026 i lp=50</v>
      </c>
      <c r="S53" s="35" t="str">
        <f t="shared" si="10"/>
        <v>rokprognozy=2027 i lp=50</v>
      </c>
      <c r="T53" s="35" t="str">
        <f t="shared" si="10"/>
        <v>rokprognozy=2028 i lp=50</v>
      </c>
      <c r="U53" s="35" t="str">
        <f t="shared" si="10"/>
        <v>rokprognozy=2029 i lp=50</v>
      </c>
      <c r="V53" s="35" t="str">
        <f t="shared" si="10"/>
        <v>rokprognozy=2030 i lp=50</v>
      </c>
      <c r="W53" s="35" t="str">
        <f t="shared" si="10"/>
        <v>rokprognozy=2031 i lp=50</v>
      </c>
      <c r="X53" s="35" t="str">
        <f t="shared" si="10"/>
        <v>rokprognozy=2032 i lp=50</v>
      </c>
      <c r="Y53" s="35" t="str">
        <f t="shared" si="10"/>
        <v>rokprognozy=2033 i lp=50</v>
      </c>
      <c r="Z53" s="35" t="str">
        <f t="shared" si="10"/>
        <v>rokprognozy=2034 i lp=50</v>
      </c>
      <c r="AA53" s="35" t="str">
        <f t="shared" si="10"/>
        <v>rokprognozy=2035 i lp=50</v>
      </c>
      <c r="AB53" s="35" t="str">
        <f t="shared" si="10"/>
        <v>rokprognozy=2036 i lp=50</v>
      </c>
      <c r="AC53" s="35" t="str">
        <f t="shared" ref="AC53:AP60" si="12">+"rokprognozy="&amp;AC$3&amp;" i lp="&amp;$A53</f>
        <v>rokprognozy=2037 i lp=50</v>
      </c>
      <c r="AD53" s="35" t="str">
        <f t="shared" si="12"/>
        <v>rokprognozy=2038 i lp=50</v>
      </c>
      <c r="AE53" s="35" t="str">
        <f t="shared" si="12"/>
        <v>rokprognozy=2039 i lp=50</v>
      </c>
      <c r="AF53" s="35" t="str">
        <f t="shared" si="12"/>
        <v>rokprognozy=2040 i lp=50</v>
      </c>
      <c r="AG53" s="35" t="str">
        <f t="shared" si="12"/>
        <v>rokprognozy=2041 i lp=50</v>
      </c>
      <c r="AH53" s="35" t="str">
        <f t="shared" si="12"/>
        <v>rokprognozy=2042 i lp=50</v>
      </c>
      <c r="AI53" s="35" t="str">
        <f t="shared" si="12"/>
        <v>rokprognozy=2043 i lp=50</v>
      </c>
      <c r="AJ53" s="35" t="str">
        <f t="shared" si="12"/>
        <v>rokprognozy=2044 i lp=50</v>
      </c>
      <c r="AK53" s="35" t="str">
        <f t="shared" si="12"/>
        <v>rokprognozy=2045 i lp=50</v>
      </c>
      <c r="AL53" s="35" t="str">
        <f t="shared" si="12"/>
        <v>rokprognozy=2046 i lp=50</v>
      </c>
      <c r="AM53" s="35" t="str">
        <f t="shared" si="12"/>
        <v>rokprognozy=2047 i lp=50</v>
      </c>
      <c r="AN53" s="35" t="str">
        <f t="shared" si="12"/>
        <v>rokprognozy=2048 i lp=50</v>
      </c>
      <c r="AO53" s="35" t="str">
        <f t="shared" si="12"/>
        <v>rokprognozy=2049 i lp=50</v>
      </c>
      <c r="AP53" s="35" t="str">
        <f t="shared" si="12"/>
        <v>rokprognozy=2050 i lp=50</v>
      </c>
    </row>
    <row r="54" spans="1:42">
      <c r="A54" s="8">
        <v>51</v>
      </c>
      <c r="B54" s="36">
        <v>24</v>
      </c>
      <c r="C54" s="45" t="s">
        <v>150</v>
      </c>
      <c r="D54" s="24" t="str">
        <f t="shared" si="9"/>
        <v>rokprognozy=2012 i lp=51</v>
      </c>
      <c r="E54" s="24" t="str">
        <f t="shared" si="9"/>
        <v>rokprognozy=2013 i lp=51</v>
      </c>
      <c r="F54" s="35" t="str">
        <f t="shared" si="9"/>
        <v>rokprognozy=2014 i lp=51</v>
      </c>
      <c r="G54" s="35" t="str">
        <f t="shared" si="9"/>
        <v>rokprognozy=2015 i lp=51</v>
      </c>
      <c r="H54" s="35" t="str">
        <f t="shared" si="9"/>
        <v>rokprognozy=2016 i lp=51</v>
      </c>
      <c r="I54" s="35" t="str">
        <f t="shared" si="9"/>
        <v>rokprognozy=2017 i lp=51</v>
      </c>
      <c r="J54" s="35" t="str">
        <f t="shared" si="9"/>
        <v>rokprognozy=2018 i lp=51</v>
      </c>
      <c r="K54" s="35" t="str">
        <f t="shared" si="9"/>
        <v>rokprognozy=2019 i lp=51</v>
      </c>
      <c r="L54" s="35" t="str">
        <f t="shared" si="9"/>
        <v>rokprognozy=2020 i lp=51</v>
      </c>
      <c r="M54" s="35" t="str">
        <f t="shared" si="10"/>
        <v>rokprognozy=2021 i lp=51</v>
      </c>
      <c r="N54" s="35" t="str">
        <f t="shared" si="10"/>
        <v>rokprognozy=2022 i lp=51</v>
      </c>
      <c r="O54" s="35" t="str">
        <f t="shared" si="10"/>
        <v>rokprognozy=2023 i lp=51</v>
      </c>
      <c r="P54" s="35" t="str">
        <f t="shared" si="10"/>
        <v>rokprognozy=2024 i lp=51</v>
      </c>
      <c r="Q54" s="35" t="str">
        <f t="shared" si="10"/>
        <v>rokprognozy=2025 i lp=51</v>
      </c>
      <c r="R54" s="35" t="str">
        <f t="shared" si="10"/>
        <v>rokprognozy=2026 i lp=51</v>
      </c>
      <c r="S54" s="35" t="str">
        <f t="shared" si="10"/>
        <v>rokprognozy=2027 i lp=51</v>
      </c>
      <c r="T54" s="35" t="str">
        <f t="shared" si="10"/>
        <v>rokprognozy=2028 i lp=51</v>
      </c>
      <c r="U54" s="35" t="str">
        <f t="shared" si="10"/>
        <v>rokprognozy=2029 i lp=51</v>
      </c>
      <c r="V54" s="35" t="str">
        <f t="shared" si="10"/>
        <v>rokprognozy=2030 i lp=51</v>
      </c>
      <c r="W54" s="35" t="str">
        <f t="shared" si="10"/>
        <v>rokprognozy=2031 i lp=51</v>
      </c>
      <c r="X54" s="35" t="str">
        <f t="shared" si="10"/>
        <v>rokprognozy=2032 i lp=51</v>
      </c>
      <c r="Y54" s="35" t="str">
        <f t="shared" si="10"/>
        <v>rokprognozy=2033 i lp=51</v>
      </c>
      <c r="Z54" s="35" t="str">
        <f t="shared" si="10"/>
        <v>rokprognozy=2034 i lp=51</v>
      </c>
      <c r="AA54" s="35" t="str">
        <f t="shared" si="10"/>
        <v>rokprognozy=2035 i lp=51</v>
      </c>
      <c r="AB54" s="35" t="str">
        <f t="shared" si="10"/>
        <v>rokprognozy=2036 i lp=51</v>
      </c>
      <c r="AC54" s="35" t="str">
        <f t="shared" si="12"/>
        <v>rokprognozy=2037 i lp=51</v>
      </c>
      <c r="AD54" s="35" t="str">
        <f t="shared" si="12"/>
        <v>rokprognozy=2038 i lp=51</v>
      </c>
      <c r="AE54" s="35" t="str">
        <f t="shared" si="12"/>
        <v>rokprognozy=2039 i lp=51</v>
      </c>
      <c r="AF54" s="35" t="str">
        <f t="shared" si="12"/>
        <v>rokprognozy=2040 i lp=51</v>
      </c>
      <c r="AG54" s="35" t="str">
        <f t="shared" si="12"/>
        <v>rokprognozy=2041 i lp=51</v>
      </c>
      <c r="AH54" s="35" t="str">
        <f t="shared" si="12"/>
        <v>rokprognozy=2042 i lp=51</v>
      </c>
      <c r="AI54" s="35" t="str">
        <f t="shared" si="12"/>
        <v>rokprognozy=2043 i lp=51</v>
      </c>
      <c r="AJ54" s="35" t="str">
        <f t="shared" si="12"/>
        <v>rokprognozy=2044 i lp=51</v>
      </c>
      <c r="AK54" s="35" t="str">
        <f t="shared" si="12"/>
        <v>rokprognozy=2045 i lp=51</v>
      </c>
      <c r="AL54" s="35" t="str">
        <f t="shared" si="12"/>
        <v>rokprognozy=2046 i lp=51</v>
      </c>
      <c r="AM54" s="35" t="str">
        <f t="shared" si="12"/>
        <v>rokprognozy=2047 i lp=51</v>
      </c>
      <c r="AN54" s="35" t="str">
        <f t="shared" si="12"/>
        <v>rokprognozy=2048 i lp=51</v>
      </c>
      <c r="AO54" s="35" t="str">
        <f t="shared" si="12"/>
        <v>rokprognozy=2049 i lp=51</v>
      </c>
      <c r="AP54" s="35" t="str">
        <f t="shared" si="12"/>
        <v>rokprognozy=2050 i lp=51</v>
      </c>
    </row>
    <row r="55" spans="1:42">
      <c r="A55" s="8">
        <v>52</v>
      </c>
      <c r="B55" s="36">
        <v>25</v>
      </c>
      <c r="C55" s="45" t="s">
        <v>49</v>
      </c>
      <c r="D55" s="24" t="str">
        <f t="shared" si="9"/>
        <v>rokprognozy=2012 i lp=52</v>
      </c>
      <c r="E55" s="24" t="str">
        <f t="shared" si="9"/>
        <v>rokprognozy=2013 i lp=52</v>
      </c>
      <c r="F55" s="35" t="str">
        <f t="shared" si="9"/>
        <v>rokprognozy=2014 i lp=52</v>
      </c>
      <c r="G55" s="35" t="str">
        <f t="shared" si="9"/>
        <v>rokprognozy=2015 i lp=52</v>
      </c>
      <c r="H55" s="35" t="str">
        <f t="shared" si="9"/>
        <v>rokprognozy=2016 i lp=52</v>
      </c>
      <c r="I55" s="35" t="str">
        <f t="shared" si="9"/>
        <v>rokprognozy=2017 i lp=52</v>
      </c>
      <c r="J55" s="35" t="str">
        <f t="shared" si="9"/>
        <v>rokprognozy=2018 i lp=52</v>
      </c>
      <c r="K55" s="35" t="str">
        <f t="shared" si="9"/>
        <v>rokprognozy=2019 i lp=52</v>
      </c>
      <c r="L55" s="35" t="str">
        <f t="shared" si="9"/>
        <v>rokprognozy=2020 i lp=52</v>
      </c>
      <c r="M55" s="35" t="str">
        <f t="shared" si="10"/>
        <v>rokprognozy=2021 i lp=52</v>
      </c>
      <c r="N55" s="35" t="str">
        <f t="shared" si="10"/>
        <v>rokprognozy=2022 i lp=52</v>
      </c>
      <c r="O55" s="35" t="str">
        <f t="shared" si="10"/>
        <v>rokprognozy=2023 i lp=52</v>
      </c>
      <c r="P55" s="35" t="str">
        <f t="shared" si="10"/>
        <v>rokprognozy=2024 i lp=52</v>
      </c>
      <c r="Q55" s="35" t="str">
        <f t="shared" si="10"/>
        <v>rokprognozy=2025 i lp=52</v>
      </c>
      <c r="R55" s="35" t="str">
        <f t="shared" si="10"/>
        <v>rokprognozy=2026 i lp=52</v>
      </c>
      <c r="S55" s="35" t="str">
        <f t="shared" si="10"/>
        <v>rokprognozy=2027 i lp=52</v>
      </c>
      <c r="T55" s="35" t="str">
        <f t="shared" si="10"/>
        <v>rokprognozy=2028 i lp=52</v>
      </c>
      <c r="U55" s="35" t="str">
        <f t="shared" si="10"/>
        <v>rokprognozy=2029 i lp=52</v>
      </c>
      <c r="V55" s="35" t="str">
        <f t="shared" si="10"/>
        <v>rokprognozy=2030 i lp=52</v>
      </c>
      <c r="W55" s="35" t="str">
        <f t="shared" si="10"/>
        <v>rokprognozy=2031 i lp=52</v>
      </c>
      <c r="X55" s="35" t="str">
        <f t="shared" si="10"/>
        <v>rokprognozy=2032 i lp=52</v>
      </c>
      <c r="Y55" s="35" t="str">
        <f t="shared" si="10"/>
        <v>rokprognozy=2033 i lp=52</v>
      </c>
      <c r="Z55" s="35" t="str">
        <f t="shared" si="10"/>
        <v>rokprognozy=2034 i lp=52</v>
      </c>
      <c r="AA55" s="35" t="str">
        <f t="shared" si="10"/>
        <v>rokprognozy=2035 i lp=52</v>
      </c>
      <c r="AB55" s="35" t="str">
        <f t="shared" si="10"/>
        <v>rokprognozy=2036 i lp=52</v>
      </c>
      <c r="AC55" s="35" t="str">
        <f t="shared" si="12"/>
        <v>rokprognozy=2037 i lp=52</v>
      </c>
      <c r="AD55" s="35" t="str">
        <f t="shared" si="12"/>
        <v>rokprognozy=2038 i lp=52</v>
      </c>
      <c r="AE55" s="35" t="str">
        <f t="shared" si="12"/>
        <v>rokprognozy=2039 i lp=52</v>
      </c>
      <c r="AF55" s="35" t="str">
        <f t="shared" si="12"/>
        <v>rokprognozy=2040 i lp=52</v>
      </c>
      <c r="AG55" s="35" t="str">
        <f t="shared" si="12"/>
        <v>rokprognozy=2041 i lp=52</v>
      </c>
      <c r="AH55" s="35" t="str">
        <f t="shared" si="12"/>
        <v>rokprognozy=2042 i lp=52</v>
      </c>
      <c r="AI55" s="35" t="str">
        <f t="shared" si="12"/>
        <v>rokprognozy=2043 i lp=52</v>
      </c>
      <c r="AJ55" s="35" t="str">
        <f t="shared" si="12"/>
        <v>rokprognozy=2044 i lp=52</v>
      </c>
      <c r="AK55" s="35" t="str">
        <f t="shared" si="12"/>
        <v>rokprognozy=2045 i lp=52</v>
      </c>
      <c r="AL55" s="35" t="str">
        <f t="shared" si="12"/>
        <v>rokprognozy=2046 i lp=52</v>
      </c>
      <c r="AM55" s="35" t="str">
        <f t="shared" si="12"/>
        <v>rokprognozy=2047 i lp=52</v>
      </c>
      <c r="AN55" s="35" t="str">
        <f t="shared" si="12"/>
        <v>rokprognozy=2048 i lp=52</v>
      </c>
      <c r="AO55" s="35" t="str">
        <f t="shared" si="12"/>
        <v>rokprognozy=2049 i lp=52</v>
      </c>
      <c r="AP55" s="35" t="str">
        <f t="shared" si="12"/>
        <v>rokprognozy=2050 i lp=52</v>
      </c>
    </row>
    <row r="56" spans="1:42">
      <c r="A56" s="8">
        <v>53</v>
      </c>
      <c r="B56" s="36">
        <v>26</v>
      </c>
      <c r="C56" s="45" t="s">
        <v>151</v>
      </c>
      <c r="D56" s="24" t="str">
        <f t="shared" si="9"/>
        <v>rokprognozy=2012 i lp=53</v>
      </c>
      <c r="E56" s="24" t="str">
        <f t="shared" si="9"/>
        <v>rokprognozy=2013 i lp=53</v>
      </c>
      <c r="F56" s="35" t="str">
        <f t="shared" si="9"/>
        <v>rokprognozy=2014 i lp=53</v>
      </c>
      <c r="G56" s="35" t="str">
        <f t="shared" si="9"/>
        <v>rokprognozy=2015 i lp=53</v>
      </c>
      <c r="H56" s="35" t="str">
        <f t="shared" si="9"/>
        <v>rokprognozy=2016 i lp=53</v>
      </c>
      <c r="I56" s="35" t="str">
        <f t="shared" si="9"/>
        <v>rokprognozy=2017 i lp=53</v>
      </c>
      <c r="J56" s="35" t="str">
        <f t="shared" si="9"/>
        <v>rokprognozy=2018 i lp=53</v>
      </c>
      <c r="K56" s="35" t="str">
        <f t="shared" si="9"/>
        <v>rokprognozy=2019 i lp=53</v>
      </c>
      <c r="L56" s="35" t="str">
        <f t="shared" si="9"/>
        <v>rokprognozy=2020 i lp=53</v>
      </c>
      <c r="M56" s="35" t="str">
        <f t="shared" si="10"/>
        <v>rokprognozy=2021 i lp=53</v>
      </c>
      <c r="N56" s="35" t="str">
        <f t="shared" si="10"/>
        <v>rokprognozy=2022 i lp=53</v>
      </c>
      <c r="O56" s="35" t="str">
        <f t="shared" si="10"/>
        <v>rokprognozy=2023 i lp=53</v>
      </c>
      <c r="P56" s="35" t="str">
        <f t="shared" si="10"/>
        <v>rokprognozy=2024 i lp=53</v>
      </c>
      <c r="Q56" s="35" t="str">
        <f t="shared" si="10"/>
        <v>rokprognozy=2025 i lp=53</v>
      </c>
      <c r="R56" s="35" t="str">
        <f t="shared" si="10"/>
        <v>rokprognozy=2026 i lp=53</v>
      </c>
      <c r="S56" s="35" t="str">
        <f t="shared" si="10"/>
        <v>rokprognozy=2027 i lp=53</v>
      </c>
      <c r="T56" s="35" t="str">
        <f t="shared" si="10"/>
        <v>rokprognozy=2028 i lp=53</v>
      </c>
      <c r="U56" s="35" t="str">
        <f t="shared" si="10"/>
        <v>rokprognozy=2029 i lp=53</v>
      </c>
      <c r="V56" s="35" t="str">
        <f t="shared" si="10"/>
        <v>rokprognozy=2030 i lp=53</v>
      </c>
      <c r="W56" s="35" t="str">
        <f t="shared" si="10"/>
        <v>rokprognozy=2031 i lp=53</v>
      </c>
      <c r="X56" s="35" t="str">
        <f t="shared" si="10"/>
        <v>rokprognozy=2032 i lp=53</v>
      </c>
      <c r="Y56" s="35" t="str">
        <f t="shared" si="10"/>
        <v>rokprognozy=2033 i lp=53</v>
      </c>
      <c r="Z56" s="35" t="str">
        <f t="shared" si="10"/>
        <v>rokprognozy=2034 i lp=53</v>
      </c>
      <c r="AA56" s="35" t="str">
        <f t="shared" si="10"/>
        <v>rokprognozy=2035 i lp=53</v>
      </c>
      <c r="AB56" s="35" t="str">
        <f t="shared" si="10"/>
        <v>rokprognozy=2036 i lp=53</v>
      </c>
      <c r="AC56" s="35" t="str">
        <f t="shared" si="12"/>
        <v>rokprognozy=2037 i lp=53</v>
      </c>
      <c r="AD56" s="35" t="str">
        <f t="shared" si="12"/>
        <v>rokprognozy=2038 i lp=53</v>
      </c>
      <c r="AE56" s="35" t="str">
        <f t="shared" si="12"/>
        <v>rokprognozy=2039 i lp=53</v>
      </c>
      <c r="AF56" s="35" t="str">
        <f t="shared" si="12"/>
        <v>rokprognozy=2040 i lp=53</v>
      </c>
      <c r="AG56" s="35" t="str">
        <f t="shared" si="12"/>
        <v>rokprognozy=2041 i lp=53</v>
      </c>
      <c r="AH56" s="35" t="str">
        <f t="shared" si="12"/>
        <v>rokprognozy=2042 i lp=53</v>
      </c>
      <c r="AI56" s="35" t="str">
        <f t="shared" si="12"/>
        <v>rokprognozy=2043 i lp=53</v>
      </c>
      <c r="AJ56" s="35" t="str">
        <f t="shared" si="12"/>
        <v>rokprognozy=2044 i lp=53</v>
      </c>
      <c r="AK56" s="35" t="str">
        <f t="shared" si="12"/>
        <v>rokprognozy=2045 i lp=53</v>
      </c>
      <c r="AL56" s="35" t="str">
        <f t="shared" si="12"/>
        <v>rokprognozy=2046 i lp=53</v>
      </c>
      <c r="AM56" s="35" t="str">
        <f t="shared" si="12"/>
        <v>rokprognozy=2047 i lp=53</v>
      </c>
      <c r="AN56" s="35" t="str">
        <f t="shared" si="12"/>
        <v>rokprognozy=2048 i lp=53</v>
      </c>
      <c r="AO56" s="35" t="str">
        <f t="shared" si="12"/>
        <v>rokprognozy=2049 i lp=53</v>
      </c>
      <c r="AP56" s="35" t="str">
        <f t="shared" si="12"/>
        <v>rokprognozy=2050 i lp=53</v>
      </c>
    </row>
    <row r="57" spans="1:42">
      <c r="A57" s="8">
        <v>54</v>
      </c>
      <c r="B57" s="36">
        <v>27</v>
      </c>
      <c r="C57" s="45" t="s">
        <v>46</v>
      </c>
      <c r="D57" s="24" t="str">
        <f t="shared" si="9"/>
        <v>rokprognozy=2012 i lp=54</v>
      </c>
      <c r="E57" s="24" t="str">
        <f t="shared" si="9"/>
        <v>rokprognozy=2013 i lp=54</v>
      </c>
      <c r="F57" s="35" t="str">
        <f t="shared" si="9"/>
        <v>rokprognozy=2014 i lp=54</v>
      </c>
      <c r="G57" s="35" t="str">
        <f t="shared" si="9"/>
        <v>rokprognozy=2015 i lp=54</v>
      </c>
      <c r="H57" s="35" t="str">
        <f t="shared" si="9"/>
        <v>rokprognozy=2016 i lp=54</v>
      </c>
      <c r="I57" s="35" t="str">
        <f t="shared" si="9"/>
        <v>rokprognozy=2017 i lp=54</v>
      </c>
      <c r="J57" s="35" t="str">
        <f t="shared" si="9"/>
        <v>rokprognozy=2018 i lp=54</v>
      </c>
      <c r="K57" s="35" t="str">
        <f t="shared" si="9"/>
        <v>rokprognozy=2019 i lp=54</v>
      </c>
      <c r="L57" s="35" t="str">
        <f t="shared" si="9"/>
        <v>rokprognozy=2020 i lp=54</v>
      </c>
      <c r="M57" s="35" t="str">
        <f t="shared" si="10"/>
        <v>rokprognozy=2021 i lp=54</v>
      </c>
      <c r="N57" s="35" t="str">
        <f t="shared" si="10"/>
        <v>rokprognozy=2022 i lp=54</v>
      </c>
      <c r="O57" s="35" t="str">
        <f t="shared" si="10"/>
        <v>rokprognozy=2023 i lp=54</v>
      </c>
      <c r="P57" s="35" t="str">
        <f t="shared" si="10"/>
        <v>rokprognozy=2024 i lp=54</v>
      </c>
      <c r="Q57" s="35" t="str">
        <f t="shared" si="10"/>
        <v>rokprognozy=2025 i lp=54</v>
      </c>
      <c r="R57" s="35" t="str">
        <f t="shared" si="10"/>
        <v>rokprognozy=2026 i lp=54</v>
      </c>
      <c r="S57" s="35" t="str">
        <f t="shared" si="10"/>
        <v>rokprognozy=2027 i lp=54</v>
      </c>
      <c r="T57" s="35" t="str">
        <f t="shared" si="10"/>
        <v>rokprognozy=2028 i lp=54</v>
      </c>
      <c r="U57" s="35" t="str">
        <f t="shared" si="10"/>
        <v>rokprognozy=2029 i lp=54</v>
      </c>
      <c r="V57" s="35" t="str">
        <f t="shared" si="10"/>
        <v>rokprognozy=2030 i lp=54</v>
      </c>
      <c r="W57" s="35" t="str">
        <f t="shared" si="10"/>
        <v>rokprognozy=2031 i lp=54</v>
      </c>
      <c r="X57" s="35" t="str">
        <f t="shared" si="10"/>
        <v>rokprognozy=2032 i lp=54</v>
      </c>
      <c r="Y57" s="35" t="str">
        <f t="shared" si="10"/>
        <v>rokprognozy=2033 i lp=54</v>
      </c>
      <c r="Z57" s="35" t="str">
        <f t="shared" si="10"/>
        <v>rokprognozy=2034 i lp=54</v>
      </c>
      <c r="AA57" s="35" t="str">
        <f t="shared" si="10"/>
        <v>rokprognozy=2035 i lp=54</v>
      </c>
      <c r="AB57" s="35" t="str">
        <f t="shared" si="10"/>
        <v>rokprognozy=2036 i lp=54</v>
      </c>
      <c r="AC57" s="35" t="str">
        <f t="shared" si="12"/>
        <v>rokprognozy=2037 i lp=54</v>
      </c>
      <c r="AD57" s="35" t="str">
        <f t="shared" si="12"/>
        <v>rokprognozy=2038 i lp=54</v>
      </c>
      <c r="AE57" s="35" t="str">
        <f t="shared" si="12"/>
        <v>rokprognozy=2039 i lp=54</v>
      </c>
      <c r="AF57" s="35" t="str">
        <f t="shared" si="12"/>
        <v>rokprognozy=2040 i lp=54</v>
      </c>
      <c r="AG57" s="35" t="str">
        <f t="shared" si="12"/>
        <v>rokprognozy=2041 i lp=54</v>
      </c>
      <c r="AH57" s="35" t="str">
        <f t="shared" si="12"/>
        <v>rokprognozy=2042 i lp=54</v>
      </c>
      <c r="AI57" s="35" t="str">
        <f t="shared" si="12"/>
        <v>rokprognozy=2043 i lp=54</v>
      </c>
      <c r="AJ57" s="35" t="str">
        <f t="shared" si="12"/>
        <v>rokprognozy=2044 i lp=54</v>
      </c>
      <c r="AK57" s="35" t="str">
        <f t="shared" si="12"/>
        <v>rokprognozy=2045 i lp=54</v>
      </c>
      <c r="AL57" s="35" t="str">
        <f t="shared" si="12"/>
        <v>rokprognozy=2046 i lp=54</v>
      </c>
      <c r="AM57" s="35" t="str">
        <f t="shared" si="12"/>
        <v>rokprognozy=2047 i lp=54</v>
      </c>
      <c r="AN57" s="35" t="str">
        <f t="shared" si="12"/>
        <v>rokprognozy=2048 i lp=54</v>
      </c>
      <c r="AO57" s="35" t="str">
        <f t="shared" si="12"/>
        <v>rokprognozy=2049 i lp=54</v>
      </c>
      <c r="AP57" s="35" t="str">
        <f t="shared" si="12"/>
        <v>rokprognozy=2050 i lp=54</v>
      </c>
    </row>
    <row r="58" spans="1:42">
      <c r="A58" s="8">
        <v>55</v>
      </c>
      <c r="B58" s="36">
        <v>28</v>
      </c>
      <c r="C58" s="45" t="s">
        <v>48</v>
      </c>
      <c r="D58" s="24" t="str">
        <f t="shared" si="9"/>
        <v>rokprognozy=2012 i lp=55</v>
      </c>
      <c r="E58" s="24" t="str">
        <f t="shared" si="9"/>
        <v>rokprognozy=2013 i lp=55</v>
      </c>
      <c r="F58" s="35" t="str">
        <f t="shared" si="9"/>
        <v>rokprognozy=2014 i lp=55</v>
      </c>
      <c r="G58" s="35" t="str">
        <f t="shared" si="9"/>
        <v>rokprognozy=2015 i lp=55</v>
      </c>
      <c r="H58" s="35" t="str">
        <f t="shared" si="9"/>
        <v>rokprognozy=2016 i lp=55</v>
      </c>
      <c r="I58" s="35" t="str">
        <f t="shared" si="9"/>
        <v>rokprognozy=2017 i lp=55</v>
      </c>
      <c r="J58" s="35" t="str">
        <f t="shared" si="9"/>
        <v>rokprognozy=2018 i lp=55</v>
      </c>
      <c r="K58" s="35" t="str">
        <f t="shared" si="9"/>
        <v>rokprognozy=2019 i lp=55</v>
      </c>
      <c r="L58" s="35" t="str">
        <f t="shared" si="9"/>
        <v>rokprognozy=2020 i lp=55</v>
      </c>
      <c r="M58" s="35" t="str">
        <f t="shared" si="10"/>
        <v>rokprognozy=2021 i lp=55</v>
      </c>
      <c r="N58" s="35" t="str">
        <f t="shared" si="10"/>
        <v>rokprognozy=2022 i lp=55</v>
      </c>
      <c r="O58" s="35" t="str">
        <f t="shared" si="10"/>
        <v>rokprognozy=2023 i lp=55</v>
      </c>
      <c r="P58" s="35" t="str">
        <f t="shared" si="10"/>
        <v>rokprognozy=2024 i lp=55</v>
      </c>
      <c r="Q58" s="35" t="str">
        <f t="shared" si="10"/>
        <v>rokprognozy=2025 i lp=55</v>
      </c>
      <c r="R58" s="35" t="str">
        <f t="shared" si="10"/>
        <v>rokprognozy=2026 i lp=55</v>
      </c>
      <c r="S58" s="35" t="str">
        <f t="shared" si="10"/>
        <v>rokprognozy=2027 i lp=55</v>
      </c>
      <c r="T58" s="35" t="str">
        <f t="shared" si="10"/>
        <v>rokprognozy=2028 i lp=55</v>
      </c>
      <c r="U58" s="35" t="str">
        <f t="shared" si="10"/>
        <v>rokprognozy=2029 i lp=55</v>
      </c>
      <c r="V58" s="35" t="str">
        <f t="shared" si="10"/>
        <v>rokprognozy=2030 i lp=55</v>
      </c>
      <c r="W58" s="35" t="str">
        <f t="shared" si="10"/>
        <v>rokprognozy=2031 i lp=55</v>
      </c>
      <c r="X58" s="35" t="str">
        <f t="shared" si="10"/>
        <v>rokprognozy=2032 i lp=55</v>
      </c>
      <c r="Y58" s="35" t="str">
        <f t="shared" si="10"/>
        <v>rokprognozy=2033 i lp=55</v>
      </c>
      <c r="Z58" s="35" t="str">
        <f t="shared" si="10"/>
        <v>rokprognozy=2034 i lp=55</v>
      </c>
      <c r="AA58" s="35" t="str">
        <f t="shared" si="10"/>
        <v>rokprognozy=2035 i lp=55</v>
      </c>
      <c r="AB58" s="35" t="str">
        <f t="shared" si="10"/>
        <v>rokprognozy=2036 i lp=55</v>
      </c>
      <c r="AC58" s="35" t="str">
        <f t="shared" si="12"/>
        <v>rokprognozy=2037 i lp=55</v>
      </c>
      <c r="AD58" s="35" t="str">
        <f t="shared" si="12"/>
        <v>rokprognozy=2038 i lp=55</v>
      </c>
      <c r="AE58" s="35" t="str">
        <f t="shared" si="12"/>
        <v>rokprognozy=2039 i lp=55</v>
      </c>
      <c r="AF58" s="35" t="str">
        <f t="shared" si="12"/>
        <v>rokprognozy=2040 i lp=55</v>
      </c>
      <c r="AG58" s="35" t="str">
        <f t="shared" si="12"/>
        <v>rokprognozy=2041 i lp=55</v>
      </c>
      <c r="AH58" s="35" t="str">
        <f t="shared" si="12"/>
        <v>rokprognozy=2042 i lp=55</v>
      </c>
      <c r="AI58" s="35" t="str">
        <f t="shared" si="12"/>
        <v>rokprognozy=2043 i lp=55</v>
      </c>
      <c r="AJ58" s="35" t="str">
        <f t="shared" si="12"/>
        <v>rokprognozy=2044 i lp=55</v>
      </c>
      <c r="AK58" s="35" t="str">
        <f t="shared" si="12"/>
        <v>rokprognozy=2045 i lp=55</v>
      </c>
      <c r="AL58" s="35" t="str">
        <f t="shared" si="12"/>
        <v>rokprognozy=2046 i lp=55</v>
      </c>
      <c r="AM58" s="35" t="str">
        <f t="shared" si="12"/>
        <v>rokprognozy=2047 i lp=55</v>
      </c>
      <c r="AN58" s="35" t="str">
        <f t="shared" si="12"/>
        <v>rokprognozy=2048 i lp=55</v>
      </c>
      <c r="AO58" s="35" t="str">
        <f t="shared" si="12"/>
        <v>rokprognozy=2049 i lp=55</v>
      </c>
      <c r="AP58" s="35" t="str">
        <f t="shared" si="12"/>
        <v>rokprognozy=2050 i lp=55</v>
      </c>
    </row>
    <row r="59" spans="1:42">
      <c r="A59" s="8">
        <v>56</v>
      </c>
      <c r="B59" s="36">
        <v>29</v>
      </c>
      <c r="C59" s="45" t="s">
        <v>152</v>
      </c>
      <c r="D59" s="24" t="str">
        <f t="shared" si="9"/>
        <v>rokprognozy=2012 i lp=56</v>
      </c>
      <c r="E59" s="24" t="str">
        <f t="shared" si="9"/>
        <v>rokprognozy=2013 i lp=56</v>
      </c>
      <c r="F59" s="35" t="str">
        <f t="shared" si="9"/>
        <v>rokprognozy=2014 i lp=56</v>
      </c>
      <c r="G59" s="35" t="str">
        <f t="shared" si="9"/>
        <v>rokprognozy=2015 i lp=56</v>
      </c>
      <c r="H59" s="35" t="str">
        <f t="shared" si="9"/>
        <v>rokprognozy=2016 i lp=56</v>
      </c>
      <c r="I59" s="35" t="str">
        <f t="shared" si="9"/>
        <v>rokprognozy=2017 i lp=56</v>
      </c>
      <c r="J59" s="35" t="str">
        <f t="shared" si="9"/>
        <v>rokprognozy=2018 i lp=56</v>
      </c>
      <c r="K59" s="35" t="str">
        <f t="shared" si="9"/>
        <v>rokprognozy=2019 i lp=56</v>
      </c>
      <c r="L59" s="35" t="str">
        <f t="shared" si="9"/>
        <v>rokprognozy=2020 i lp=56</v>
      </c>
      <c r="M59" s="35" t="str">
        <f t="shared" si="10"/>
        <v>rokprognozy=2021 i lp=56</v>
      </c>
      <c r="N59" s="35" t="str">
        <f t="shared" si="10"/>
        <v>rokprognozy=2022 i lp=56</v>
      </c>
      <c r="O59" s="35" t="str">
        <f t="shared" si="10"/>
        <v>rokprognozy=2023 i lp=56</v>
      </c>
      <c r="P59" s="35" t="str">
        <f t="shared" si="10"/>
        <v>rokprognozy=2024 i lp=56</v>
      </c>
      <c r="Q59" s="35" t="str">
        <f t="shared" si="10"/>
        <v>rokprognozy=2025 i lp=56</v>
      </c>
      <c r="R59" s="35" t="str">
        <f t="shared" si="10"/>
        <v>rokprognozy=2026 i lp=56</v>
      </c>
      <c r="S59" s="35" t="str">
        <f t="shared" si="10"/>
        <v>rokprognozy=2027 i lp=56</v>
      </c>
      <c r="T59" s="35" t="str">
        <f t="shared" si="10"/>
        <v>rokprognozy=2028 i lp=56</v>
      </c>
      <c r="U59" s="35" t="str">
        <f t="shared" si="10"/>
        <v>rokprognozy=2029 i lp=56</v>
      </c>
      <c r="V59" s="35" t="str">
        <f t="shared" si="10"/>
        <v>rokprognozy=2030 i lp=56</v>
      </c>
      <c r="W59" s="35" t="str">
        <f t="shared" si="10"/>
        <v>rokprognozy=2031 i lp=56</v>
      </c>
      <c r="X59" s="35" t="str">
        <f t="shared" si="10"/>
        <v>rokprognozy=2032 i lp=56</v>
      </c>
      <c r="Y59" s="35" t="str">
        <f t="shared" si="10"/>
        <v>rokprognozy=2033 i lp=56</v>
      </c>
      <c r="Z59" s="35" t="str">
        <f t="shared" si="10"/>
        <v>rokprognozy=2034 i lp=56</v>
      </c>
      <c r="AA59" s="35" t="str">
        <f t="shared" si="10"/>
        <v>rokprognozy=2035 i lp=56</v>
      </c>
      <c r="AB59" s="35" t="str">
        <f t="shared" si="10"/>
        <v>rokprognozy=2036 i lp=56</v>
      </c>
      <c r="AC59" s="35" t="str">
        <f t="shared" si="12"/>
        <v>rokprognozy=2037 i lp=56</v>
      </c>
      <c r="AD59" s="35" t="str">
        <f t="shared" si="12"/>
        <v>rokprognozy=2038 i lp=56</v>
      </c>
      <c r="AE59" s="35" t="str">
        <f t="shared" si="12"/>
        <v>rokprognozy=2039 i lp=56</v>
      </c>
      <c r="AF59" s="35" t="str">
        <f t="shared" si="12"/>
        <v>rokprognozy=2040 i lp=56</v>
      </c>
      <c r="AG59" s="35" t="str">
        <f t="shared" si="12"/>
        <v>rokprognozy=2041 i lp=56</v>
      </c>
      <c r="AH59" s="35" t="str">
        <f t="shared" si="12"/>
        <v>rokprognozy=2042 i lp=56</v>
      </c>
      <c r="AI59" s="35" t="str">
        <f t="shared" si="12"/>
        <v>rokprognozy=2043 i lp=56</v>
      </c>
      <c r="AJ59" s="35" t="str">
        <f t="shared" si="12"/>
        <v>rokprognozy=2044 i lp=56</v>
      </c>
      <c r="AK59" s="35" t="str">
        <f t="shared" si="12"/>
        <v>rokprognozy=2045 i lp=56</v>
      </c>
      <c r="AL59" s="35" t="str">
        <f t="shared" si="12"/>
        <v>rokprognozy=2046 i lp=56</v>
      </c>
      <c r="AM59" s="35" t="str">
        <f t="shared" si="12"/>
        <v>rokprognozy=2047 i lp=56</v>
      </c>
      <c r="AN59" s="35" t="str">
        <f t="shared" si="12"/>
        <v>rokprognozy=2048 i lp=56</v>
      </c>
      <c r="AO59" s="35" t="str">
        <f t="shared" si="12"/>
        <v>rokprognozy=2049 i lp=56</v>
      </c>
      <c r="AP59" s="35" t="str">
        <f t="shared" si="12"/>
        <v>rokprognozy=2050 i lp=56</v>
      </c>
    </row>
    <row r="60" spans="1:42">
      <c r="A60" s="8">
        <v>57</v>
      </c>
      <c r="B60" s="36">
        <v>30</v>
      </c>
      <c r="C60" s="45" t="s">
        <v>153</v>
      </c>
      <c r="D60" s="24" t="str">
        <f t="shared" si="9"/>
        <v>rokprognozy=2012 i lp=57</v>
      </c>
      <c r="E60" s="24" t="str">
        <f t="shared" si="9"/>
        <v>rokprognozy=2013 i lp=57</v>
      </c>
      <c r="F60" s="35" t="str">
        <f t="shared" si="9"/>
        <v>rokprognozy=2014 i lp=57</v>
      </c>
      <c r="G60" s="35" t="str">
        <f t="shared" si="9"/>
        <v>rokprognozy=2015 i lp=57</v>
      </c>
      <c r="H60" s="35" t="str">
        <f t="shared" si="9"/>
        <v>rokprognozy=2016 i lp=57</v>
      </c>
      <c r="I60" s="35" t="str">
        <f t="shared" si="9"/>
        <v>rokprognozy=2017 i lp=57</v>
      </c>
      <c r="J60" s="35" t="str">
        <f t="shared" si="9"/>
        <v>rokprognozy=2018 i lp=57</v>
      </c>
      <c r="K60" s="35" t="str">
        <f t="shared" si="9"/>
        <v>rokprognozy=2019 i lp=57</v>
      </c>
      <c r="L60" s="35" t="str">
        <f t="shared" si="9"/>
        <v>rokprognozy=2020 i lp=57</v>
      </c>
      <c r="M60" s="35" t="str">
        <f t="shared" si="10"/>
        <v>rokprognozy=2021 i lp=57</v>
      </c>
      <c r="N60" s="35" t="str">
        <f t="shared" si="10"/>
        <v>rokprognozy=2022 i lp=57</v>
      </c>
      <c r="O60" s="35" t="str">
        <f t="shared" si="10"/>
        <v>rokprognozy=2023 i lp=57</v>
      </c>
      <c r="P60" s="35" t="str">
        <f t="shared" si="10"/>
        <v>rokprognozy=2024 i lp=57</v>
      </c>
      <c r="Q60" s="35" t="str">
        <f t="shared" si="10"/>
        <v>rokprognozy=2025 i lp=57</v>
      </c>
      <c r="R60" s="35" t="str">
        <f t="shared" si="10"/>
        <v>rokprognozy=2026 i lp=57</v>
      </c>
      <c r="S60" s="35" t="str">
        <f t="shared" si="10"/>
        <v>rokprognozy=2027 i lp=57</v>
      </c>
      <c r="T60" s="35" t="str">
        <f t="shared" si="10"/>
        <v>rokprognozy=2028 i lp=57</v>
      </c>
      <c r="U60" s="35" t="str">
        <f t="shared" si="10"/>
        <v>rokprognozy=2029 i lp=57</v>
      </c>
      <c r="V60" s="35" t="str">
        <f t="shared" si="10"/>
        <v>rokprognozy=2030 i lp=57</v>
      </c>
      <c r="W60" s="35" t="str">
        <f t="shared" si="10"/>
        <v>rokprognozy=2031 i lp=57</v>
      </c>
      <c r="X60" s="35" t="str">
        <f t="shared" si="10"/>
        <v>rokprognozy=2032 i lp=57</v>
      </c>
      <c r="Y60" s="35" t="str">
        <f t="shared" si="10"/>
        <v>rokprognozy=2033 i lp=57</v>
      </c>
      <c r="Z60" s="35" t="str">
        <f t="shared" si="10"/>
        <v>rokprognozy=2034 i lp=57</v>
      </c>
      <c r="AA60" s="35" t="str">
        <f t="shared" si="10"/>
        <v>rokprognozy=2035 i lp=57</v>
      </c>
      <c r="AB60" s="35" t="str">
        <f t="shared" si="10"/>
        <v>rokprognozy=2036 i lp=57</v>
      </c>
      <c r="AC60" s="35" t="str">
        <f t="shared" si="12"/>
        <v>rokprognozy=2037 i lp=57</v>
      </c>
      <c r="AD60" s="35" t="str">
        <f t="shared" si="12"/>
        <v>rokprognozy=2038 i lp=57</v>
      </c>
      <c r="AE60" s="35" t="str">
        <f t="shared" si="12"/>
        <v>rokprognozy=2039 i lp=57</v>
      </c>
      <c r="AF60" s="35" t="str">
        <f t="shared" si="12"/>
        <v>rokprognozy=2040 i lp=57</v>
      </c>
      <c r="AG60" s="35" t="str">
        <f t="shared" si="12"/>
        <v>rokprognozy=2041 i lp=57</v>
      </c>
      <c r="AH60" s="35" t="str">
        <f t="shared" si="12"/>
        <v>rokprognozy=2042 i lp=57</v>
      </c>
      <c r="AI60" s="35" t="str">
        <f t="shared" si="12"/>
        <v>rokprognozy=2043 i lp=57</v>
      </c>
      <c r="AJ60" s="35" t="str">
        <f t="shared" si="12"/>
        <v>rokprognozy=2044 i lp=57</v>
      </c>
      <c r="AK60" s="35" t="str">
        <f t="shared" si="12"/>
        <v>rokprognozy=2045 i lp=57</v>
      </c>
      <c r="AL60" s="35" t="str">
        <f t="shared" si="12"/>
        <v>rokprognozy=2046 i lp=57</v>
      </c>
      <c r="AM60" s="35" t="str">
        <f t="shared" si="12"/>
        <v>rokprognozy=2047 i lp=57</v>
      </c>
      <c r="AN60" s="35" t="str">
        <f t="shared" si="12"/>
        <v>rokprognozy=2048 i lp=57</v>
      </c>
      <c r="AO60" s="35" t="str">
        <f t="shared" si="12"/>
        <v>rokprognozy=2049 i lp=57</v>
      </c>
      <c r="AP60" s="35" t="str">
        <f t="shared" si="12"/>
        <v>rokprognozy=2050 i lp=57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243"/>
  <sheetViews>
    <sheetView topLeftCell="H1" workbookViewId="0">
      <selection activeCell="O4" sqref="O4:O243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3" max="13" width="16.875" customWidth="1"/>
  </cols>
  <sheetData>
    <row r="1" spans="1:15" ht="15">
      <c r="A1" s="27" t="s">
        <v>56</v>
      </c>
      <c r="L1" s="42" t="s">
        <v>83</v>
      </c>
      <c r="M1" s="69">
        <f>MIN(L:L)</f>
        <v>2012</v>
      </c>
    </row>
    <row r="3" spans="1:15" ht="15" thickBot="1">
      <c r="A3" s="39" t="s">
        <v>27</v>
      </c>
      <c r="B3" s="40" t="s">
        <v>28</v>
      </c>
      <c r="C3" s="40" t="s">
        <v>29</v>
      </c>
      <c r="D3" s="40" t="s">
        <v>30</v>
      </c>
      <c r="E3" s="40" t="s">
        <v>31</v>
      </c>
      <c r="F3" s="40" t="s">
        <v>32</v>
      </c>
      <c r="G3" s="40" t="s">
        <v>33</v>
      </c>
      <c r="H3" s="40" t="s">
        <v>34</v>
      </c>
      <c r="I3" s="40" t="s">
        <v>35</v>
      </c>
      <c r="J3" s="40" t="s">
        <v>36</v>
      </c>
      <c r="K3" s="40" t="s">
        <v>37</v>
      </c>
      <c r="L3" s="40" t="s">
        <v>38</v>
      </c>
      <c r="M3" s="40" t="s">
        <v>39</v>
      </c>
      <c r="N3" s="40" t="s">
        <v>43</v>
      </c>
      <c r="O3" s="40" t="s">
        <v>44</v>
      </c>
    </row>
    <row r="4" spans="1:15">
      <c r="A4" s="65">
        <v>2012</v>
      </c>
      <c r="B4" s="66" t="s">
        <v>169</v>
      </c>
      <c r="C4" s="66" t="s">
        <v>170</v>
      </c>
      <c r="D4" s="67">
        <v>1015042</v>
      </c>
      <c r="E4" s="67">
        <v>2</v>
      </c>
      <c r="F4" s="67"/>
      <c r="G4" s="67">
        <v>43</v>
      </c>
      <c r="H4" s="67" t="s">
        <v>144</v>
      </c>
      <c r="I4" s="67" t="s">
        <v>171</v>
      </c>
      <c r="J4" s="67" t="s">
        <v>74</v>
      </c>
      <c r="K4" s="67" t="b">
        <v>0</v>
      </c>
      <c r="L4" s="63">
        <v>2013</v>
      </c>
      <c r="M4" s="64">
        <v>5.2999999999999999E-2</v>
      </c>
      <c r="N4" s="68">
        <v>41087</v>
      </c>
      <c r="O4" s="68">
        <v>41087</v>
      </c>
    </row>
    <row r="5" spans="1:15">
      <c r="A5" s="65">
        <v>2012</v>
      </c>
      <c r="B5" s="66" t="s">
        <v>169</v>
      </c>
      <c r="C5" s="66" t="s">
        <v>170</v>
      </c>
      <c r="D5" s="67">
        <v>1015042</v>
      </c>
      <c r="E5" s="67">
        <v>2</v>
      </c>
      <c r="F5" s="67"/>
      <c r="G5" s="67">
        <v>50</v>
      </c>
      <c r="H5" s="67">
        <v>23</v>
      </c>
      <c r="I5" s="67" t="s">
        <v>172</v>
      </c>
      <c r="J5" s="67" t="s">
        <v>149</v>
      </c>
      <c r="K5" s="67" t="b">
        <v>1</v>
      </c>
      <c r="L5" s="63">
        <v>2014</v>
      </c>
      <c r="M5" s="64">
        <v>8252557</v>
      </c>
      <c r="N5" s="68">
        <v>41087</v>
      </c>
      <c r="O5" s="68">
        <v>41087</v>
      </c>
    </row>
    <row r="6" spans="1:15">
      <c r="A6" s="65">
        <v>2012</v>
      </c>
      <c r="B6" s="66" t="s">
        <v>169</v>
      </c>
      <c r="C6" s="66" t="s">
        <v>170</v>
      </c>
      <c r="D6" s="67">
        <v>1015042</v>
      </c>
      <c r="E6" s="67">
        <v>2</v>
      </c>
      <c r="F6" s="67"/>
      <c r="G6" s="67">
        <v>57</v>
      </c>
      <c r="H6" s="67">
        <v>30</v>
      </c>
      <c r="I6" s="67" t="s">
        <v>173</v>
      </c>
      <c r="J6" s="67" t="s">
        <v>153</v>
      </c>
      <c r="K6" s="67" t="b">
        <v>0</v>
      </c>
      <c r="L6" s="63">
        <v>2017</v>
      </c>
      <c r="M6" s="64">
        <v>379678</v>
      </c>
      <c r="N6" s="68">
        <v>41087</v>
      </c>
      <c r="O6" s="68">
        <v>41087</v>
      </c>
    </row>
    <row r="7" spans="1:15">
      <c r="A7" s="65">
        <v>2012</v>
      </c>
      <c r="B7" s="66" t="s">
        <v>169</v>
      </c>
      <c r="C7" s="66" t="s">
        <v>170</v>
      </c>
      <c r="D7" s="67">
        <v>1015042</v>
      </c>
      <c r="E7" s="67">
        <v>2</v>
      </c>
      <c r="F7" s="67"/>
      <c r="G7" s="67">
        <v>4</v>
      </c>
      <c r="H7" s="67" t="s">
        <v>98</v>
      </c>
      <c r="I7" s="67"/>
      <c r="J7" s="67" t="s">
        <v>99</v>
      </c>
      <c r="K7" s="67" t="b">
        <v>1</v>
      </c>
      <c r="L7" s="63">
        <v>2012</v>
      </c>
      <c r="M7" s="64">
        <v>1840121</v>
      </c>
      <c r="N7" s="68">
        <v>41087</v>
      </c>
      <c r="O7" s="68">
        <v>41087</v>
      </c>
    </row>
    <row r="8" spans="1:15">
      <c r="A8" s="65">
        <v>2012</v>
      </c>
      <c r="B8" s="66" t="s">
        <v>169</v>
      </c>
      <c r="C8" s="66" t="s">
        <v>170</v>
      </c>
      <c r="D8" s="67">
        <v>1015042</v>
      </c>
      <c r="E8" s="67">
        <v>2</v>
      </c>
      <c r="F8" s="67"/>
      <c r="G8" s="67">
        <v>33</v>
      </c>
      <c r="H8" s="67">
        <v>13</v>
      </c>
      <c r="I8" s="67"/>
      <c r="J8" s="67" t="s">
        <v>66</v>
      </c>
      <c r="K8" s="67" t="b">
        <v>1</v>
      </c>
      <c r="L8" s="63">
        <v>2012</v>
      </c>
      <c r="M8" s="64">
        <v>1713572.36</v>
      </c>
      <c r="N8" s="68">
        <v>41087</v>
      </c>
      <c r="O8" s="68">
        <v>41087</v>
      </c>
    </row>
    <row r="9" spans="1:15">
      <c r="A9" s="65">
        <v>2012</v>
      </c>
      <c r="B9" s="66" t="s">
        <v>169</v>
      </c>
      <c r="C9" s="66" t="s">
        <v>170</v>
      </c>
      <c r="D9" s="67">
        <v>1015042</v>
      </c>
      <c r="E9" s="67">
        <v>2</v>
      </c>
      <c r="F9" s="67"/>
      <c r="G9" s="67">
        <v>45</v>
      </c>
      <c r="H9" s="67" t="s">
        <v>146</v>
      </c>
      <c r="I9" s="67" t="s">
        <v>174</v>
      </c>
      <c r="J9" s="67" t="s">
        <v>53</v>
      </c>
      <c r="K9" s="67" t="b">
        <v>0</v>
      </c>
      <c r="L9" s="63">
        <v>2018</v>
      </c>
      <c r="M9" s="64">
        <v>0.13189999999999999</v>
      </c>
      <c r="N9" s="68">
        <v>41087</v>
      </c>
      <c r="O9" s="68">
        <v>41087</v>
      </c>
    </row>
    <row r="10" spans="1:15">
      <c r="A10" s="65">
        <v>2012</v>
      </c>
      <c r="B10" s="66" t="s">
        <v>169</v>
      </c>
      <c r="C10" s="66" t="s">
        <v>170</v>
      </c>
      <c r="D10" s="67">
        <v>1015042</v>
      </c>
      <c r="E10" s="67">
        <v>2</v>
      </c>
      <c r="F10" s="67"/>
      <c r="G10" s="67">
        <v>26</v>
      </c>
      <c r="H10" s="67">
        <v>9</v>
      </c>
      <c r="I10" s="67" t="s">
        <v>175</v>
      </c>
      <c r="J10" s="67" t="s">
        <v>131</v>
      </c>
      <c r="K10" s="67" t="b">
        <v>0</v>
      </c>
      <c r="L10" s="63">
        <v>2012</v>
      </c>
      <c r="M10" s="64">
        <v>2213831.5</v>
      </c>
      <c r="N10" s="68">
        <v>41087</v>
      </c>
      <c r="O10" s="68">
        <v>41087</v>
      </c>
    </row>
    <row r="11" spans="1:15">
      <c r="A11" s="65">
        <v>2012</v>
      </c>
      <c r="B11" s="66" t="s">
        <v>169</v>
      </c>
      <c r="C11" s="66" t="s">
        <v>170</v>
      </c>
      <c r="D11" s="67">
        <v>1015042</v>
      </c>
      <c r="E11" s="67">
        <v>2</v>
      </c>
      <c r="F11" s="67"/>
      <c r="G11" s="67">
        <v>55</v>
      </c>
      <c r="H11" s="67">
        <v>28</v>
      </c>
      <c r="I11" s="67" t="s">
        <v>176</v>
      </c>
      <c r="J11" s="67" t="s">
        <v>48</v>
      </c>
      <c r="K11" s="67" t="b">
        <v>0</v>
      </c>
      <c r="L11" s="63">
        <v>2018</v>
      </c>
      <c r="M11" s="64">
        <v>148818</v>
      </c>
      <c r="N11" s="68">
        <v>41087</v>
      </c>
      <c r="O11" s="68">
        <v>41087</v>
      </c>
    </row>
    <row r="12" spans="1:15">
      <c r="A12" s="65">
        <v>2012</v>
      </c>
      <c r="B12" s="66" t="s">
        <v>169</v>
      </c>
      <c r="C12" s="66" t="s">
        <v>170</v>
      </c>
      <c r="D12" s="67">
        <v>1015042</v>
      </c>
      <c r="E12" s="67">
        <v>2</v>
      </c>
      <c r="F12" s="67"/>
      <c r="G12" s="67">
        <v>28</v>
      </c>
      <c r="H12" s="67" t="s">
        <v>132</v>
      </c>
      <c r="I12" s="67"/>
      <c r="J12" s="67" t="s">
        <v>133</v>
      </c>
      <c r="K12" s="67" t="b">
        <v>0</v>
      </c>
      <c r="L12" s="63">
        <v>2013</v>
      </c>
      <c r="M12" s="64">
        <v>1448229.53</v>
      </c>
      <c r="N12" s="68">
        <v>41087</v>
      </c>
      <c r="O12" s="68">
        <v>41087</v>
      </c>
    </row>
    <row r="13" spans="1:15">
      <c r="A13" s="65">
        <v>2012</v>
      </c>
      <c r="B13" s="66" t="s">
        <v>169</v>
      </c>
      <c r="C13" s="66" t="s">
        <v>170</v>
      </c>
      <c r="D13" s="67">
        <v>1015042</v>
      </c>
      <c r="E13" s="67">
        <v>2</v>
      </c>
      <c r="F13" s="67"/>
      <c r="G13" s="67">
        <v>37</v>
      </c>
      <c r="H13" s="67">
        <v>16</v>
      </c>
      <c r="I13" s="67"/>
      <c r="J13" s="67" t="s">
        <v>140</v>
      </c>
      <c r="K13" s="67" t="b">
        <v>1</v>
      </c>
      <c r="L13" s="63">
        <v>2014</v>
      </c>
      <c r="M13" s="64">
        <v>472887</v>
      </c>
      <c r="N13" s="68">
        <v>41087</v>
      </c>
      <c r="O13" s="68">
        <v>41087</v>
      </c>
    </row>
    <row r="14" spans="1:15">
      <c r="A14" s="65">
        <v>2012</v>
      </c>
      <c r="B14" s="66" t="s">
        <v>169</v>
      </c>
      <c r="C14" s="66" t="s">
        <v>170</v>
      </c>
      <c r="D14" s="67">
        <v>1015042</v>
      </c>
      <c r="E14" s="67">
        <v>2</v>
      </c>
      <c r="F14" s="67"/>
      <c r="G14" s="67">
        <v>45</v>
      </c>
      <c r="H14" s="67" t="s">
        <v>146</v>
      </c>
      <c r="I14" s="67" t="s">
        <v>174</v>
      </c>
      <c r="J14" s="67" t="s">
        <v>53</v>
      </c>
      <c r="K14" s="67" t="b">
        <v>0</v>
      </c>
      <c r="L14" s="63">
        <v>2013</v>
      </c>
      <c r="M14" s="64">
        <v>8.2400000000000001E-2</v>
      </c>
      <c r="N14" s="68">
        <v>41087</v>
      </c>
      <c r="O14" s="68">
        <v>41087</v>
      </c>
    </row>
    <row r="15" spans="1:15">
      <c r="A15" s="65">
        <v>2012</v>
      </c>
      <c r="B15" s="66" t="s">
        <v>169</v>
      </c>
      <c r="C15" s="66" t="s">
        <v>170</v>
      </c>
      <c r="D15" s="67">
        <v>1015042</v>
      </c>
      <c r="E15" s="67">
        <v>2</v>
      </c>
      <c r="F15" s="67"/>
      <c r="G15" s="67">
        <v>43</v>
      </c>
      <c r="H15" s="67" t="s">
        <v>144</v>
      </c>
      <c r="I15" s="67" t="s">
        <v>171</v>
      </c>
      <c r="J15" s="67" t="s">
        <v>74</v>
      </c>
      <c r="K15" s="67" t="b">
        <v>0</v>
      </c>
      <c r="L15" s="63">
        <v>2017</v>
      </c>
      <c r="M15" s="64">
        <v>4.6399999999999997E-2</v>
      </c>
      <c r="N15" s="68">
        <v>41087</v>
      </c>
      <c r="O15" s="68">
        <v>41087</v>
      </c>
    </row>
    <row r="16" spans="1:15">
      <c r="A16" s="65">
        <v>2012</v>
      </c>
      <c r="B16" s="66" t="s">
        <v>169</v>
      </c>
      <c r="C16" s="66" t="s">
        <v>170</v>
      </c>
      <c r="D16" s="67">
        <v>1015042</v>
      </c>
      <c r="E16" s="67">
        <v>2</v>
      </c>
      <c r="F16" s="67"/>
      <c r="G16" s="67">
        <v>54</v>
      </c>
      <c r="H16" s="67">
        <v>27</v>
      </c>
      <c r="I16" s="67" t="s">
        <v>177</v>
      </c>
      <c r="J16" s="67" t="s">
        <v>46</v>
      </c>
      <c r="K16" s="67" t="b">
        <v>0</v>
      </c>
      <c r="L16" s="63">
        <v>2017</v>
      </c>
      <c r="M16" s="64">
        <v>8447142</v>
      </c>
      <c r="N16" s="68">
        <v>41087</v>
      </c>
      <c r="O16" s="68">
        <v>41087</v>
      </c>
    </row>
    <row r="17" spans="1:15">
      <c r="A17" s="65">
        <v>2012</v>
      </c>
      <c r="B17" s="66" t="s">
        <v>169</v>
      </c>
      <c r="C17" s="66" t="s">
        <v>170</v>
      </c>
      <c r="D17" s="67">
        <v>1015042</v>
      </c>
      <c r="E17" s="67">
        <v>2</v>
      </c>
      <c r="F17" s="67"/>
      <c r="G17" s="67">
        <v>50</v>
      </c>
      <c r="H17" s="67">
        <v>23</v>
      </c>
      <c r="I17" s="67" t="s">
        <v>172</v>
      </c>
      <c r="J17" s="67" t="s">
        <v>149</v>
      </c>
      <c r="K17" s="67" t="b">
        <v>1</v>
      </c>
      <c r="L17" s="63">
        <v>2017</v>
      </c>
      <c r="M17" s="64">
        <v>8826820</v>
      </c>
      <c r="N17" s="68">
        <v>41087</v>
      </c>
      <c r="O17" s="68">
        <v>41087</v>
      </c>
    </row>
    <row r="18" spans="1:15">
      <c r="A18" s="65">
        <v>2012</v>
      </c>
      <c r="B18" s="66" t="s">
        <v>169</v>
      </c>
      <c r="C18" s="66" t="s">
        <v>170</v>
      </c>
      <c r="D18" s="67">
        <v>1015042</v>
      </c>
      <c r="E18" s="67">
        <v>2</v>
      </c>
      <c r="F18" s="67"/>
      <c r="G18" s="67">
        <v>57</v>
      </c>
      <c r="H18" s="67">
        <v>30</v>
      </c>
      <c r="I18" s="67" t="s">
        <v>173</v>
      </c>
      <c r="J18" s="67" t="s">
        <v>153</v>
      </c>
      <c r="K18" s="67" t="b">
        <v>0</v>
      </c>
      <c r="L18" s="63">
        <v>2014</v>
      </c>
      <c r="M18" s="64">
        <v>472887</v>
      </c>
      <c r="N18" s="68">
        <v>41087</v>
      </c>
      <c r="O18" s="68">
        <v>41087</v>
      </c>
    </row>
    <row r="19" spans="1:15">
      <c r="A19" s="65">
        <v>2012</v>
      </c>
      <c r="B19" s="66" t="s">
        <v>169</v>
      </c>
      <c r="C19" s="66" t="s">
        <v>170</v>
      </c>
      <c r="D19" s="67">
        <v>1015042</v>
      </c>
      <c r="E19" s="67">
        <v>2</v>
      </c>
      <c r="F19" s="67"/>
      <c r="G19" s="67">
        <v>57</v>
      </c>
      <c r="H19" s="67">
        <v>30</v>
      </c>
      <c r="I19" s="67" t="s">
        <v>173</v>
      </c>
      <c r="J19" s="67" t="s">
        <v>153</v>
      </c>
      <c r="K19" s="67" t="b">
        <v>0</v>
      </c>
      <c r="L19" s="63">
        <v>2015</v>
      </c>
      <c r="M19" s="64">
        <v>396751</v>
      </c>
      <c r="N19" s="68">
        <v>41087</v>
      </c>
      <c r="O19" s="68">
        <v>41087</v>
      </c>
    </row>
    <row r="20" spans="1:15">
      <c r="A20" s="65">
        <v>2012</v>
      </c>
      <c r="B20" s="66" t="s">
        <v>169</v>
      </c>
      <c r="C20" s="66" t="s">
        <v>170</v>
      </c>
      <c r="D20" s="67">
        <v>1015042</v>
      </c>
      <c r="E20" s="67">
        <v>2</v>
      </c>
      <c r="F20" s="67"/>
      <c r="G20" s="67">
        <v>40</v>
      </c>
      <c r="H20" s="67">
        <v>18</v>
      </c>
      <c r="I20" s="67" t="s">
        <v>178</v>
      </c>
      <c r="J20" s="67" t="s">
        <v>69</v>
      </c>
      <c r="K20" s="67" t="b">
        <v>0</v>
      </c>
      <c r="L20" s="63">
        <v>2015</v>
      </c>
      <c r="M20" s="64">
        <v>0.1101</v>
      </c>
      <c r="N20" s="68">
        <v>41087</v>
      </c>
      <c r="O20" s="68">
        <v>41087</v>
      </c>
    </row>
    <row r="21" spans="1:15">
      <c r="A21" s="65">
        <v>2012</v>
      </c>
      <c r="B21" s="66" t="s">
        <v>169</v>
      </c>
      <c r="C21" s="66" t="s">
        <v>170</v>
      </c>
      <c r="D21" s="67">
        <v>1015042</v>
      </c>
      <c r="E21" s="67">
        <v>2</v>
      </c>
      <c r="F21" s="67"/>
      <c r="G21" s="67">
        <v>26</v>
      </c>
      <c r="H21" s="67">
        <v>9</v>
      </c>
      <c r="I21" s="67" t="s">
        <v>175</v>
      </c>
      <c r="J21" s="67" t="s">
        <v>131</v>
      </c>
      <c r="K21" s="67" t="b">
        <v>0</v>
      </c>
      <c r="L21" s="63">
        <v>2018</v>
      </c>
      <c r="M21" s="64">
        <v>1020768</v>
      </c>
      <c r="N21" s="68">
        <v>41087</v>
      </c>
      <c r="O21" s="68">
        <v>41087</v>
      </c>
    </row>
    <row r="22" spans="1:15">
      <c r="A22" s="65">
        <v>2012</v>
      </c>
      <c r="B22" s="66" t="s">
        <v>169</v>
      </c>
      <c r="C22" s="66" t="s">
        <v>170</v>
      </c>
      <c r="D22" s="67">
        <v>1015042</v>
      </c>
      <c r="E22" s="67">
        <v>2</v>
      </c>
      <c r="F22" s="67"/>
      <c r="G22" s="67">
        <v>5</v>
      </c>
      <c r="H22" s="67" t="s">
        <v>100</v>
      </c>
      <c r="I22" s="67"/>
      <c r="J22" s="67" t="s">
        <v>101</v>
      </c>
      <c r="K22" s="67" t="b">
        <v>1</v>
      </c>
      <c r="L22" s="63">
        <v>2012</v>
      </c>
      <c r="M22" s="64">
        <v>154200</v>
      </c>
      <c r="N22" s="68">
        <v>41087</v>
      </c>
      <c r="O22" s="68">
        <v>41087</v>
      </c>
    </row>
    <row r="23" spans="1:15">
      <c r="A23" s="65">
        <v>2012</v>
      </c>
      <c r="B23" s="66" t="s">
        <v>169</v>
      </c>
      <c r="C23" s="66" t="s">
        <v>170</v>
      </c>
      <c r="D23" s="67">
        <v>1015042</v>
      </c>
      <c r="E23" s="67">
        <v>2</v>
      </c>
      <c r="F23" s="67"/>
      <c r="G23" s="67">
        <v>43</v>
      </c>
      <c r="H23" s="67" t="s">
        <v>144</v>
      </c>
      <c r="I23" s="67" t="s">
        <v>171</v>
      </c>
      <c r="J23" s="67" t="s">
        <v>74</v>
      </c>
      <c r="K23" s="67" t="b">
        <v>0</v>
      </c>
      <c r="L23" s="63">
        <v>2012</v>
      </c>
      <c r="M23" s="64">
        <v>4.7899999999999998E-2</v>
      </c>
      <c r="N23" s="68">
        <v>41087</v>
      </c>
      <c r="O23" s="68">
        <v>41087</v>
      </c>
    </row>
    <row r="24" spans="1:15">
      <c r="A24" s="65">
        <v>2012</v>
      </c>
      <c r="B24" s="66" t="s">
        <v>169</v>
      </c>
      <c r="C24" s="66" t="s">
        <v>170</v>
      </c>
      <c r="D24" s="67">
        <v>1015042</v>
      </c>
      <c r="E24" s="67">
        <v>2</v>
      </c>
      <c r="F24" s="67"/>
      <c r="G24" s="67">
        <v>29</v>
      </c>
      <c r="H24" s="67" t="s">
        <v>134</v>
      </c>
      <c r="I24" s="67"/>
      <c r="J24" s="67" t="s">
        <v>115</v>
      </c>
      <c r="K24" s="67" t="b">
        <v>0</v>
      </c>
      <c r="L24" s="63">
        <v>2013</v>
      </c>
      <c r="M24" s="64">
        <v>1429742.03</v>
      </c>
      <c r="N24" s="68">
        <v>41087</v>
      </c>
      <c r="O24" s="68">
        <v>41087</v>
      </c>
    </row>
    <row r="25" spans="1:15">
      <c r="A25" s="65">
        <v>2012</v>
      </c>
      <c r="B25" s="66" t="s">
        <v>169</v>
      </c>
      <c r="C25" s="66" t="s">
        <v>170</v>
      </c>
      <c r="D25" s="67">
        <v>1015042</v>
      </c>
      <c r="E25" s="67">
        <v>2</v>
      </c>
      <c r="F25" s="67"/>
      <c r="G25" s="67">
        <v>20</v>
      </c>
      <c r="H25" s="67">
        <v>7</v>
      </c>
      <c r="I25" s="67" t="s">
        <v>179</v>
      </c>
      <c r="J25" s="67" t="s">
        <v>12</v>
      </c>
      <c r="K25" s="67" t="b">
        <v>1</v>
      </c>
      <c r="L25" s="63">
        <v>2016</v>
      </c>
      <c r="M25" s="64">
        <v>450089</v>
      </c>
      <c r="N25" s="68">
        <v>41087</v>
      </c>
      <c r="O25" s="68">
        <v>41087</v>
      </c>
    </row>
    <row r="26" spans="1:15">
      <c r="A26" s="65">
        <v>2012</v>
      </c>
      <c r="B26" s="66" t="s">
        <v>169</v>
      </c>
      <c r="C26" s="66" t="s">
        <v>170</v>
      </c>
      <c r="D26" s="67">
        <v>1015042</v>
      </c>
      <c r="E26" s="67">
        <v>2</v>
      </c>
      <c r="F26" s="67"/>
      <c r="G26" s="67">
        <v>57</v>
      </c>
      <c r="H26" s="67">
        <v>30</v>
      </c>
      <c r="I26" s="67" t="s">
        <v>173</v>
      </c>
      <c r="J26" s="67" t="s">
        <v>153</v>
      </c>
      <c r="K26" s="67" t="b">
        <v>0</v>
      </c>
      <c r="L26" s="63">
        <v>2013</v>
      </c>
      <c r="M26" s="64">
        <v>378687.36</v>
      </c>
      <c r="N26" s="68">
        <v>41087</v>
      </c>
      <c r="O26" s="68">
        <v>41087</v>
      </c>
    </row>
    <row r="27" spans="1:15">
      <c r="A27" s="65">
        <v>2012</v>
      </c>
      <c r="B27" s="66" t="s">
        <v>169</v>
      </c>
      <c r="C27" s="66" t="s">
        <v>170</v>
      </c>
      <c r="D27" s="67">
        <v>1015042</v>
      </c>
      <c r="E27" s="67">
        <v>2</v>
      </c>
      <c r="F27" s="67"/>
      <c r="G27" s="67">
        <v>53</v>
      </c>
      <c r="H27" s="67">
        <v>26</v>
      </c>
      <c r="I27" s="67" t="s">
        <v>180</v>
      </c>
      <c r="J27" s="67" t="s">
        <v>151</v>
      </c>
      <c r="K27" s="67" t="b">
        <v>1</v>
      </c>
      <c r="L27" s="63">
        <v>2016</v>
      </c>
      <c r="M27" s="64">
        <v>8611532</v>
      </c>
      <c r="N27" s="68">
        <v>41087</v>
      </c>
      <c r="O27" s="68">
        <v>41087</v>
      </c>
    </row>
    <row r="28" spans="1:15">
      <c r="A28" s="65">
        <v>2012</v>
      </c>
      <c r="B28" s="66" t="s">
        <v>169</v>
      </c>
      <c r="C28" s="66" t="s">
        <v>170</v>
      </c>
      <c r="D28" s="67">
        <v>1015042</v>
      </c>
      <c r="E28" s="67">
        <v>2</v>
      </c>
      <c r="F28" s="67"/>
      <c r="G28" s="67">
        <v>24</v>
      </c>
      <c r="H28" s="67" t="s">
        <v>128</v>
      </c>
      <c r="I28" s="67"/>
      <c r="J28" s="67" t="s">
        <v>129</v>
      </c>
      <c r="K28" s="67" t="b">
        <v>1</v>
      </c>
      <c r="L28" s="63">
        <v>2016</v>
      </c>
      <c r="M28" s="64">
        <v>53338</v>
      </c>
      <c r="N28" s="68">
        <v>41087</v>
      </c>
      <c r="O28" s="68">
        <v>41087</v>
      </c>
    </row>
    <row r="29" spans="1:15">
      <c r="A29" s="65">
        <v>2012</v>
      </c>
      <c r="B29" s="66" t="s">
        <v>169</v>
      </c>
      <c r="C29" s="66" t="s">
        <v>170</v>
      </c>
      <c r="D29" s="67">
        <v>1015042</v>
      </c>
      <c r="E29" s="67">
        <v>2</v>
      </c>
      <c r="F29" s="67"/>
      <c r="G29" s="67">
        <v>23</v>
      </c>
      <c r="H29" s="67" t="s">
        <v>126</v>
      </c>
      <c r="I29" s="67"/>
      <c r="J29" s="67" t="s">
        <v>127</v>
      </c>
      <c r="K29" s="67" t="b">
        <v>1</v>
      </c>
      <c r="L29" s="63">
        <v>2018</v>
      </c>
      <c r="M29" s="64">
        <v>3865</v>
      </c>
      <c r="N29" s="68">
        <v>41087</v>
      </c>
      <c r="O29" s="68">
        <v>41087</v>
      </c>
    </row>
    <row r="30" spans="1:15">
      <c r="A30" s="65">
        <v>2012</v>
      </c>
      <c r="B30" s="66" t="s">
        <v>169</v>
      </c>
      <c r="C30" s="66" t="s">
        <v>170</v>
      </c>
      <c r="D30" s="67">
        <v>1015042</v>
      </c>
      <c r="E30" s="67">
        <v>2</v>
      </c>
      <c r="F30" s="67"/>
      <c r="G30" s="67">
        <v>44</v>
      </c>
      <c r="H30" s="67">
        <v>20</v>
      </c>
      <c r="I30" s="67" t="s">
        <v>181</v>
      </c>
      <c r="J30" s="67" t="s">
        <v>145</v>
      </c>
      <c r="K30" s="67" t="b">
        <v>1</v>
      </c>
      <c r="L30" s="63">
        <v>2013</v>
      </c>
      <c r="M30" s="64">
        <v>0.1351</v>
      </c>
      <c r="N30" s="68">
        <v>41087</v>
      </c>
      <c r="O30" s="68">
        <v>41087</v>
      </c>
    </row>
    <row r="31" spans="1:15">
      <c r="A31" s="65">
        <v>2012</v>
      </c>
      <c r="B31" s="66" t="s">
        <v>169</v>
      </c>
      <c r="C31" s="66" t="s">
        <v>170</v>
      </c>
      <c r="D31" s="67">
        <v>1015042</v>
      </c>
      <c r="E31" s="67">
        <v>2</v>
      </c>
      <c r="F31" s="67"/>
      <c r="G31" s="67">
        <v>42</v>
      </c>
      <c r="H31" s="67">
        <v>19</v>
      </c>
      <c r="I31" s="67" t="s">
        <v>182</v>
      </c>
      <c r="J31" s="67" t="s">
        <v>72</v>
      </c>
      <c r="K31" s="67" t="b">
        <v>1</v>
      </c>
      <c r="L31" s="63">
        <v>2015</v>
      </c>
      <c r="M31" s="64">
        <v>5.62E-2</v>
      </c>
      <c r="N31" s="68">
        <v>41087</v>
      </c>
      <c r="O31" s="68">
        <v>41087</v>
      </c>
    </row>
    <row r="32" spans="1:15">
      <c r="A32" s="65">
        <v>2012</v>
      </c>
      <c r="B32" s="66" t="s">
        <v>169</v>
      </c>
      <c r="C32" s="66" t="s">
        <v>170</v>
      </c>
      <c r="D32" s="67">
        <v>1015042</v>
      </c>
      <c r="E32" s="67">
        <v>2</v>
      </c>
      <c r="F32" s="67"/>
      <c r="G32" s="67">
        <v>53</v>
      </c>
      <c r="H32" s="67">
        <v>26</v>
      </c>
      <c r="I32" s="67" t="s">
        <v>180</v>
      </c>
      <c r="J32" s="67" t="s">
        <v>151</v>
      </c>
      <c r="K32" s="67" t="b">
        <v>1</v>
      </c>
      <c r="L32" s="63">
        <v>2017</v>
      </c>
      <c r="M32" s="64">
        <v>8826820</v>
      </c>
      <c r="N32" s="68">
        <v>41087</v>
      </c>
      <c r="O32" s="68">
        <v>41087</v>
      </c>
    </row>
    <row r="33" spans="1:15">
      <c r="A33" s="65">
        <v>2012</v>
      </c>
      <c r="B33" s="66" t="s">
        <v>169</v>
      </c>
      <c r="C33" s="66" t="s">
        <v>170</v>
      </c>
      <c r="D33" s="67">
        <v>1015042</v>
      </c>
      <c r="E33" s="67">
        <v>2</v>
      </c>
      <c r="F33" s="67"/>
      <c r="G33" s="67">
        <v>1</v>
      </c>
      <c r="H33" s="67">
        <v>1</v>
      </c>
      <c r="I33" s="67" t="s">
        <v>183</v>
      </c>
      <c r="J33" s="67" t="s">
        <v>93</v>
      </c>
      <c r="K33" s="67" t="b">
        <v>1</v>
      </c>
      <c r="L33" s="63">
        <v>2015</v>
      </c>
      <c r="M33" s="64">
        <v>8401495</v>
      </c>
      <c r="N33" s="68">
        <v>41087</v>
      </c>
      <c r="O33" s="68">
        <v>41087</v>
      </c>
    </row>
    <row r="34" spans="1:15">
      <c r="A34" s="65">
        <v>2012</v>
      </c>
      <c r="B34" s="66" t="s">
        <v>169</v>
      </c>
      <c r="C34" s="66" t="s">
        <v>170</v>
      </c>
      <c r="D34" s="67">
        <v>1015042</v>
      </c>
      <c r="E34" s="67">
        <v>2</v>
      </c>
      <c r="F34" s="67"/>
      <c r="G34" s="67">
        <v>51</v>
      </c>
      <c r="H34" s="67">
        <v>24</v>
      </c>
      <c r="I34" s="67" t="s">
        <v>184</v>
      </c>
      <c r="J34" s="67" t="s">
        <v>150</v>
      </c>
      <c r="K34" s="67" t="b">
        <v>1</v>
      </c>
      <c r="L34" s="63">
        <v>2013</v>
      </c>
      <c r="M34" s="64">
        <v>6875322</v>
      </c>
      <c r="N34" s="68">
        <v>41087</v>
      </c>
      <c r="O34" s="68">
        <v>41087</v>
      </c>
    </row>
    <row r="35" spans="1:15">
      <c r="A35" s="65">
        <v>2012</v>
      </c>
      <c r="B35" s="66" t="s">
        <v>169</v>
      </c>
      <c r="C35" s="66" t="s">
        <v>170</v>
      </c>
      <c r="D35" s="67">
        <v>1015042</v>
      </c>
      <c r="E35" s="67">
        <v>2</v>
      </c>
      <c r="F35" s="67"/>
      <c r="G35" s="67">
        <v>42</v>
      </c>
      <c r="H35" s="67">
        <v>19</v>
      </c>
      <c r="I35" s="67" t="s">
        <v>182</v>
      </c>
      <c r="J35" s="67" t="s">
        <v>72</v>
      </c>
      <c r="K35" s="67" t="b">
        <v>1</v>
      </c>
      <c r="L35" s="63">
        <v>2017</v>
      </c>
      <c r="M35" s="64">
        <v>4.6399999999999997E-2</v>
      </c>
      <c r="N35" s="68">
        <v>41087</v>
      </c>
      <c r="O35" s="68">
        <v>41087</v>
      </c>
    </row>
    <row r="36" spans="1:15">
      <c r="A36" s="65">
        <v>2012</v>
      </c>
      <c r="B36" s="66" t="s">
        <v>169</v>
      </c>
      <c r="C36" s="66" t="s">
        <v>170</v>
      </c>
      <c r="D36" s="67">
        <v>1015042</v>
      </c>
      <c r="E36" s="67">
        <v>2</v>
      </c>
      <c r="F36" s="67"/>
      <c r="G36" s="67">
        <v>9</v>
      </c>
      <c r="H36" s="67" t="s">
        <v>106</v>
      </c>
      <c r="I36" s="67"/>
      <c r="J36" s="67" t="s">
        <v>107</v>
      </c>
      <c r="K36" s="67" t="b">
        <v>0</v>
      </c>
      <c r="L36" s="63">
        <v>2014</v>
      </c>
      <c r="M36" s="64">
        <v>1107168</v>
      </c>
      <c r="N36" s="68">
        <v>41087</v>
      </c>
      <c r="O36" s="68">
        <v>41087</v>
      </c>
    </row>
    <row r="37" spans="1:15">
      <c r="A37" s="65">
        <v>2012</v>
      </c>
      <c r="B37" s="66" t="s">
        <v>169</v>
      </c>
      <c r="C37" s="66" t="s">
        <v>170</v>
      </c>
      <c r="D37" s="67">
        <v>1015042</v>
      </c>
      <c r="E37" s="67">
        <v>2</v>
      </c>
      <c r="F37" s="67"/>
      <c r="G37" s="67">
        <v>20</v>
      </c>
      <c r="H37" s="67">
        <v>7</v>
      </c>
      <c r="I37" s="67" t="s">
        <v>179</v>
      </c>
      <c r="J37" s="67" t="s">
        <v>12</v>
      </c>
      <c r="K37" s="67" t="b">
        <v>1</v>
      </c>
      <c r="L37" s="63">
        <v>2018</v>
      </c>
      <c r="M37" s="64">
        <v>152683</v>
      </c>
      <c r="N37" s="68">
        <v>41087</v>
      </c>
      <c r="O37" s="68">
        <v>41087</v>
      </c>
    </row>
    <row r="38" spans="1:15">
      <c r="A38" s="65">
        <v>2012</v>
      </c>
      <c r="B38" s="66" t="s">
        <v>169</v>
      </c>
      <c r="C38" s="66" t="s">
        <v>170</v>
      </c>
      <c r="D38" s="67">
        <v>1015042</v>
      </c>
      <c r="E38" s="67">
        <v>2</v>
      </c>
      <c r="F38" s="67"/>
      <c r="G38" s="67">
        <v>52</v>
      </c>
      <c r="H38" s="67">
        <v>25</v>
      </c>
      <c r="I38" s="67" t="s">
        <v>185</v>
      </c>
      <c r="J38" s="67" t="s">
        <v>49</v>
      </c>
      <c r="K38" s="67" t="b">
        <v>1</v>
      </c>
      <c r="L38" s="63">
        <v>2015</v>
      </c>
      <c r="M38" s="64">
        <v>1119827</v>
      </c>
      <c r="N38" s="68">
        <v>41087</v>
      </c>
      <c r="O38" s="68">
        <v>41087</v>
      </c>
    </row>
    <row r="39" spans="1:15">
      <c r="A39" s="65">
        <v>2012</v>
      </c>
      <c r="B39" s="66" t="s">
        <v>169</v>
      </c>
      <c r="C39" s="66" t="s">
        <v>170</v>
      </c>
      <c r="D39" s="67">
        <v>1015042</v>
      </c>
      <c r="E39" s="67">
        <v>2</v>
      </c>
      <c r="F39" s="67"/>
      <c r="G39" s="67">
        <v>12</v>
      </c>
      <c r="H39" s="67" t="s">
        <v>112</v>
      </c>
      <c r="I39" s="67"/>
      <c r="J39" s="67" t="s">
        <v>113</v>
      </c>
      <c r="K39" s="67" t="b">
        <v>0</v>
      </c>
      <c r="L39" s="63">
        <v>2014</v>
      </c>
      <c r="M39" s="64">
        <v>93542.24</v>
      </c>
      <c r="N39" s="68">
        <v>41087</v>
      </c>
      <c r="O39" s="68">
        <v>41087</v>
      </c>
    </row>
    <row r="40" spans="1:15">
      <c r="A40" s="65">
        <v>2012</v>
      </c>
      <c r="B40" s="66" t="s">
        <v>169</v>
      </c>
      <c r="C40" s="66" t="s">
        <v>170</v>
      </c>
      <c r="D40" s="67">
        <v>1015042</v>
      </c>
      <c r="E40" s="67">
        <v>2</v>
      </c>
      <c r="F40" s="67"/>
      <c r="G40" s="67">
        <v>54</v>
      </c>
      <c r="H40" s="67">
        <v>27</v>
      </c>
      <c r="I40" s="67" t="s">
        <v>177</v>
      </c>
      <c r="J40" s="67" t="s">
        <v>46</v>
      </c>
      <c r="K40" s="67" t="b">
        <v>0</v>
      </c>
      <c r="L40" s="63">
        <v>2018</v>
      </c>
      <c r="M40" s="64">
        <v>8898673</v>
      </c>
      <c r="N40" s="68">
        <v>41087</v>
      </c>
      <c r="O40" s="68">
        <v>41087</v>
      </c>
    </row>
    <row r="41" spans="1:15">
      <c r="A41" s="65">
        <v>2012</v>
      </c>
      <c r="B41" s="66" t="s">
        <v>169</v>
      </c>
      <c r="C41" s="66" t="s">
        <v>170</v>
      </c>
      <c r="D41" s="67">
        <v>1015042</v>
      </c>
      <c r="E41" s="67">
        <v>2</v>
      </c>
      <c r="F41" s="67"/>
      <c r="G41" s="67">
        <v>47</v>
      </c>
      <c r="H41" s="67" t="s">
        <v>147</v>
      </c>
      <c r="I41" s="67" t="s">
        <v>186</v>
      </c>
      <c r="J41" s="67" t="s">
        <v>76</v>
      </c>
      <c r="K41" s="67" t="b">
        <v>0</v>
      </c>
      <c r="L41" s="63">
        <v>2018</v>
      </c>
      <c r="M41" s="64">
        <v>1150</v>
      </c>
      <c r="N41" s="68">
        <v>41087</v>
      </c>
      <c r="O41" s="68">
        <v>41087</v>
      </c>
    </row>
    <row r="42" spans="1:15">
      <c r="A42" s="65">
        <v>2012</v>
      </c>
      <c r="B42" s="66" t="s">
        <v>169</v>
      </c>
      <c r="C42" s="66" t="s">
        <v>170</v>
      </c>
      <c r="D42" s="67">
        <v>1015042</v>
      </c>
      <c r="E42" s="67">
        <v>2</v>
      </c>
      <c r="F42" s="67"/>
      <c r="G42" s="67">
        <v>26</v>
      </c>
      <c r="H42" s="67">
        <v>9</v>
      </c>
      <c r="I42" s="67" t="s">
        <v>175</v>
      </c>
      <c r="J42" s="67" t="s">
        <v>131</v>
      </c>
      <c r="K42" s="67" t="b">
        <v>0</v>
      </c>
      <c r="L42" s="63">
        <v>2016</v>
      </c>
      <c r="M42" s="64">
        <v>739406</v>
      </c>
      <c r="N42" s="68">
        <v>41087</v>
      </c>
      <c r="O42" s="68">
        <v>41087</v>
      </c>
    </row>
    <row r="43" spans="1:15">
      <c r="A43" s="65">
        <v>2012</v>
      </c>
      <c r="B43" s="66" t="s">
        <v>169</v>
      </c>
      <c r="C43" s="66" t="s">
        <v>170</v>
      </c>
      <c r="D43" s="67">
        <v>1015042</v>
      </c>
      <c r="E43" s="67">
        <v>2</v>
      </c>
      <c r="F43" s="67"/>
      <c r="G43" s="67">
        <v>2</v>
      </c>
      <c r="H43" s="67" t="s">
        <v>94</v>
      </c>
      <c r="I43" s="67"/>
      <c r="J43" s="67" t="s">
        <v>95</v>
      </c>
      <c r="K43" s="67" t="b">
        <v>1</v>
      </c>
      <c r="L43" s="63">
        <v>2015</v>
      </c>
      <c r="M43" s="64">
        <v>8401495</v>
      </c>
      <c r="N43" s="68">
        <v>41087</v>
      </c>
      <c r="O43" s="68">
        <v>41087</v>
      </c>
    </row>
    <row r="44" spans="1:15">
      <c r="A44" s="65">
        <v>2012</v>
      </c>
      <c r="B44" s="66" t="s">
        <v>169</v>
      </c>
      <c r="C44" s="66" t="s">
        <v>170</v>
      </c>
      <c r="D44" s="67">
        <v>1015042</v>
      </c>
      <c r="E44" s="67">
        <v>2</v>
      </c>
      <c r="F44" s="67"/>
      <c r="G44" s="67">
        <v>24</v>
      </c>
      <c r="H44" s="67" t="s">
        <v>128</v>
      </c>
      <c r="I44" s="67"/>
      <c r="J44" s="67" t="s">
        <v>129</v>
      </c>
      <c r="K44" s="67" t="b">
        <v>1</v>
      </c>
      <c r="L44" s="63">
        <v>2018</v>
      </c>
      <c r="M44" s="64">
        <v>3865</v>
      </c>
      <c r="N44" s="68">
        <v>41087</v>
      </c>
      <c r="O44" s="68">
        <v>41087</v>
      </c>
    </row>
    <row r="45" spans="1:15">
      <c r="A45" s="65">
        <v>2012</v>
      </c>
      <c r="B45" s="66" t="s">
        <v>169</v>
      </c>
      <c r="C45" s="66" t="s">
        <v>170</v>
      </c>
      <c r="D45" s="67">
        <v>1015042</v>
      </c>
      <c r="E45" s="67">
        <v>2</v>
      </c>
      <c r="F45" s="67"/>
      <c r="G45" s="67">
        <v>14</v>
      </c>
      <c r="H45" s="67">
        <v>3</v>
      </c>
      <c r="I45" s="67" t="s">
        <v>187</v>
      </c>
      <c r="J45" s="67" t="s">
        <v>116</v>
      </c>
      <c r="K45" s="67" t="b">
        <v>1</v>
      </c>
      <c r="L45" s="63">
        <v>2012</v>
      </c>
      <c r="M45" s="64">
        <v>2724425.5</v>
      </c>
      <c r="N45" s="68">
        <v>41087</v>
      </c>
      <c r="O45" s="68">
        <v>41087</v>
      </c>
    </row>
    <row r="46" spans="1:15">
      <c r="A46" s="65">
        <v>2012</v>
      </c>
      <c r="B46" s="66" t="s">
        <v>169</v>
      </c>
      <c r="C46" s="66" t="s">
        <v>170</v>
      </c>
      <c r="D46" s="67">
        <v>1015042</v>
      </c>
      <c r="E46" s="67">
        <v>2</v>
      </c>
      <c r="F46" s="67"/>
      <c r="G46" s="67">
        <v>24</v>
      </c>
      <c r="H46" s="67" t="s">
        <v>128</v>
      </c>
      <c r="I46" s="67"/>
      <c r="J46" s="67" t="s">
        <v>129</v>
      </c>
      <c r="K46" s="67" t="b">
        <v>1</v>
      </c>
      <c r="L46" s="63">
        <v>2012</v>
      </c>
      <c r="M46" s="64">
        <v>115000</v>
      </c>
      <c r="N46" s="68">
        <v>41087</v>
      </c>
      <c r="O46" s="68">
        <v>41087</v>
      </c>
    </row>
    <row r="47" spans="1:15">
      <c r="A47" s="65">
        <v>2012</v>
      </c>
      <c r="B47" s="66" t="s">
        <v>169</v>
      </c>
      <c r="C47" s="66" t="s">
        <v>170</v>
      </c>
      <c r="D47" s="67">
        <v>1015042</v>
      </c>
      <c r="E47" s="67">
        <v>2</v>
      </c>
      <c r="F47" s="67"/>
      <c r="G47" s="67">
        <v>57</v>
      </c>
      <c r="H47" s="67">
        <v>30</v>
      </c>
      <c r="I47" s="67" t="s">
        <v>173</v>
      </c>
      <c r="J47" s="67" t="s">
        <v>153</v>
      </c>
      <c r="K47" s="67" t="b">
        <v>0</v>
      </c>
      <c r="L47" s="63">
        <v>2012</v>
      </c>
      <c r="M47" s="64">
        <v>657094</v>
      </c>
      <c r="N47" s="68">
        <v>41087</v>
      </c>
      <c r="O47" s="68">
        <v>41087</v>
      </c>
    </row>
    <row r="48" spans="1:15">
      <c r="A48" s="65">
        <v>2012</v>
      </c>
      <c r="B48" s="66" t="s">
        <v>169</v>
      </c>
      <c r="C48" s="66" t="s">
        <v>170</v>
      </c>
      <c r="D48" s="67">
        <v>1015042</v>
      </c>
      <c r="E48" s="67">
        <v>2</v>
      </c>
      <c r="F48" s="67"/>
      <c r="G48" s="67">
        <v>20</v>
      </c>
      <c r="H48" s="67">
        <v>7</v>
      </c>
      <c r="I48" s="67" t="s">
        <v>179</v>
      </c>
      <c r="J48" s="67" t="s">
        <v>12</v>
      </c>
      <c r="K48" s="67" t="b">
        <v>1</v>
      </c>
      <c r="L48" s="63">
        <v>2015</v>
      </c>
      <c r="M48" s="64">
        <v>472558</v>
      </c>
      <c r="N48" s="68">
        <v>41087</v>
      </c>
      <c r="O48" s="68">
        <v>41087</v>
      </c>
    </row>
    <row r="49" spans="1:15">
      <c r="A49" s="65">
        <v>2012</v>
      </c>
      <c r="B49" s="66" t="s">
        <v>169</v>
      </c>
      <c r="C49" s="66" t="s">
        <v>170</v>
      </c>
      <c r="D49" s="67">
        <v>1015042</v>
      </c>
      <c r="E49" s="67">
        <v>2</v>
      </c>
      <c r="F49" s="67"/>
      <c r="G49" s="67">
        <v>51</v>
      </c>
      <c r="H49" s="67">
        <v>24</v>
      </c>
      <c r="I49" s="67" t="s">
        <v>184</v>
      </c>
      <c r="J49" s="67" t="s">
        <v>150</v>
      </c>
      <c r="K49" s="67" t="b">
        <v>1</v>
      </c>
      <c r="L49" s="63">
        <v>2017</v>
      </c>
      <c r="M49" s="64">
        <v>7674667</v>
      </c>
      <c r="N49" s="68">
        <v>41087</v>
      </c>
      <c r="O49" s="68">
        <v>41087</v>
      </c>
    </row>
    <row r="50" spans="1:15">
      <c r="A50" s="65">
        <v>2012</v>
      </c>
      <c r="B50" s="66" t="s">
        <v>169</v>
      </c>
      <c r="C50" s="66" t="s">
        <v>170</v>
      </c>
      <c r="D50" s="67">
        <v>1015042</v>
      </c>
      <c r="E50" s="67">
        <v>2</v>
      </c>
      <c r="F50" s="67"/>
      <c r="G50" s="67">
        <v>9</v>
      </c>
      <c r="H50" s="67" t="s">
        <v>106</v>
      </c>
      <c r="I50" s="67"/>
      <c r="J50" s="67" t="s">
        <v>107</v>
      </c>
      <c r="K50" s="67" t="b">
        <v>0</v>
      </c>
      <c r="L50" s="63">
        <v>2017</v>
      </c>
      <c r="M50" s="64">
        <v>1185333</v>
      </c>
      <c r="N50" s="68">
        <v>41087</v>
      </c>
      <c r="O50" s="68">
        <v>41087</v>
      </c>
    </row>
    <row r="51" spans="1:15">
      <c r="A51" s="65">
        <v>2012</v>
      </c>
      <c r="B51" s="66" t="s">
        <v>169</v>
      </c>
      <c r="C51" s="66" t="s">
        <v>170</v>
      </c>
      <c r="D51" s="67">
        <v>1015042</v>
      </c>
      <c r="E51" s="67">
        <v>2</v>
      </c>
      <c r="F51" s="67"/>
      <c r="G51" s="67">
        <v>45</v>
      </c>
      <c r="H51" s="67" t="s">
        <v>146</v>
      </c>
      <c r="I51" s="67" t="s">
        <v>174</v>
      </c>
      <c r="J51" s="67" t="s">
        <v>53</v>
      </c>
      <c r="K51" s="67" t="b">
        <v>0</v>
      </c>
      <c r="L51" s="63">
        <v>2014</v>
      </c>
      <c r="M51" s="64">
        <v>8.72E-2</v>
      </c>
      <c r="N51" s="68">
        <v>41087</v>
      </c>
      <c r="O51" s="68">
        <v>41087</v>
      </c>
    </row>
    <row r="52" spans="1:15">
      <c r="A52" s="65">
        <v>2012</v>
      </c>
      <c r="B52" s="66" t="s">
        <v>169</v>
      </c>
      <c r="C52" s="66" t="s">
        <v>170</v>
      </c>
      <c r="D52" s="67">
        <v>1015042</v>
      </c>
      <c r="E52" s="67">
        <v>2</v>
      </c>
      <c r="F52" s="67"/>
      <c r="G52" s="67">
        <v>2</v>
      </c>
      <c r="H52" s="67" t="s">
        <v>94</v>
      </c>
      <c r="I52" s="67"/>
      <c r="J52" s="67" t="s">
        <v>95</v>
      </c>
      <c r="K52" s="67" t="b">
        <v>1</v>
      </c>
      <c r="L52" s="63">
        <v>2017</v>
      </c>
      <c r="M52" s="64">
        <v>8826820</v>
      </c>
      <c r="N52" s="68">
        <v>41087</v>
      </c>
      <c r="O52" s="68">
        <v>41087</v>
      </c>
    </row>
    <row r="53" spans="1:15">
      <c r="A53" s="65">
        <v>2012</v>
      </c>
      <c r="B53" s="66" t="s">
        <v>169</v>
      </c>
      <c r="C53" s="66" t="s">
        <v>170</v>
      </c>
      <c r="D53" s="67">
        <v>1015042</v>
      </c>
      <c r="E53" s="67">
        <v>2</v>
      </c>
      <c r="F53" s="67"/>
      <c r="G53" s="67">
        <v>8</v>
      </c>
      <c r="H53" s="67" t="s">
        <v>104</v>
      </c>
      <c r="I53" s="67"/>
      <c r="J53" s="67" t="s">
        <v>105</v>
      </c>
      <c r="K53" s="67" t="b">
        <v>0</v>
      </c>
      <c r="L53" s="63">
        <v>2014</v>
      </c>
      <c r="M53" s="64">
        <v>3275736</v>
      </c>
      <c r="N53" s="68">
        <v>41087</v>
      </c>
      <c r="O53" s="68">
        <v>41087</v>
      </c>
    </row>
    <row r="54" spans="1:15">
      <c r="A54" s="65">
        <v>2012</v>
      </c>
      <c r="B54" s="66" t="s">
        <v>169</v>
      </c>
      <c r="C54" s="66" t="s">
        <v>170</v>
      </c>
      <c r="D54" s="67">
        <v>1015042</v>
      </c>
      <c r="E54" s="67">
        <v>2</v>
      </c>
      <c r="F54" s="67"/>
      <c r="G54" s="67">
        <v>45</v>
      </c>
      <c r="H54" s="67" t="s">
        <v>146</v>
      </c>
      <c r="I54" s="67" t="s">
        <v>174</v>
      </c>
      <c r="J54" s="67" t="s">
        <v>53</v>
      </c>
      <c r="K54" s="67" t="b">
        <v>0</v>
      </c>
      <c r="L54" s="63">
        <v>2016</v>
      </c>
      <c r="M54" s="64">
        <v>0.13789999999999999</v>
      </c>
      <c r="N54" s="68">
        <v>41087</v>
      </c>
      <c r="O54" s="68">
        <v>41087</v>
      </c>
    </row>
    <row r="55" spans="1:15">
      <c r="A55" s="65">
        <v>2012</v>
      </c>
      <c r="B55" s="66" t="s">
        <v>169</v>
      </c>
      <c r="C55" s="66" t="s">
        <v>170</v>
      </c>
      <c r="D55" s="67">
        <v>1015042</v>
      </c>
      <c r="E55" s="67">
        <v>2</v>
      </c>
      <c r="F55" s="67"/>
      <c r="G55" s="67">
        <v>26</v>
      </c>
      <c r="H55" s="67">
        <v>9</v>
      </c>
      <c r="I55" s="67" t="s">
        <v>175</v>
      </c>
      <c r="J55" s="67" t="s">
        <v>131</v>
      </c>
      <c r="K55" s="67" t="b">
        <v>0</v>
      </c>
      <c r="L55" s="63">
        <v>2014</v>
      </c>
      <c r="M55" s="64">
        <v>727324</v>
      </c>
      <c r="N55" s="68">
        <v>41087</v>
      </c>
      <c r="O55" s="68">
        <v>41087</v>
      </c>
    </row>
    <row r="56" spans="1:15">
      <c r="A56" s="65">
        <v>2012</v>
      </c>
      <c r="B56" s="66" t="s">
        <v>169</v>
      </c>
      <c r="C56" s="66" t="s">
        <v>170</v>
      </c>
      <c r="D56" s="67">
        <v>1015042</v>
      </c>
      <c r="E56" s="67">
        <v>2</v>
      </c>
      <c r="F56" s="67"/>
      <c r="G56" s="67">
        <v>54</v>
      </c>
      <c r="H56" s="67">
        <v>27</v>
      </c>
      <c r="I56" s="67" t="s">
        <v>177</v>
      </c>
      <c r="J56" s="67" t="s">
        <v>46</v>
      </c>
      <c r="K56" s="67" t="b">
        <v>0</v>
      </c>
      <c r="L56" s="63">
        <v>2012</v>
      </c>
      <c r="M56" s="64">
        <v>9421685.0500000007</v>
      </c>
      <c r="N56" s="68">
        <v>41087</v>
      </c>
      <c r="O56" s="68">
        <v>41087</v>
      </c>
    </row>
    <row r="57" spans="1:15">
      <c r="A57" s="65">
        <v>2012</v>
      </c>
      <c r="B57" s="66" t="s">
        <v>169</v>
      </c>
      <c r="C57" s="66" t="s">
        <v>170</v>
      </c>
      <c r="D57" s="67">
        <v>1015042</v>
      </c>
      <c r="E57" s="67">
        <v>2</v>
      </c>
      <c r="F57" s="67"/>
      <c r="G57" s="67">
        <v>12</v>
      </c>
      <c r="H57" s="67" t="s">
        <v>112</v>
      </c>
      <c r="I57" s="67"/>
      <c r="J57" s="67" t="s">
        <v>113</v>
      </c>
      <c r="K57" s="67" t="b">
        <v>0</v>
      </c>
      <c r="L57" s="63">
        <v>2012</v>
      </c>
      <c r="M57" s="64">
        <v>167584.48000000001</v>
      </c>
      <c r="N57" s="68">
        <v>41087</v>
      </c>
      <c r="O57" s="68">
        <v>41087</v>
      </c>
    </row>
    <row r="58" spans="1:15">
      <c r="A58" s="65">
        <v>2012</v>
      </c>
      <c r="B58" s="66" t="s">
        <v>169</v>
      </c>
      <c r="C58" s="66" t="s">
        <v>170</v>
      </c>
      <c r="D58" s="67">
        <v>1015042</v>
      </c>
      <c r="E58" s="67">
        <v>2</v>
      </c>
      <c r="F58" s="67"/>
      <c r="G58" s="67">
        <v>40</v>
      </c>
      <c r="H58" s="67">
        <v>18</v>
      </c>
      <c r="I58" s="67" t="s">
        <v>178</v>
      </c>
      <c r="J58" s="67" t="s">
        <v>69</v>
      </c>
      <c r="K58" s="67" t="b">
        <v>0</v>
      </c>
      <c r="L58" s="63">
        <v>2014</v>
      </c>
      <c r="M58" s="64">
        <v>0.16020000000000001</v>
      </c>
      <c r="N58" s="68">
        <v>41087</v>
      </c>
      <c r="O58" s="68">
        <v>41087</v>
      </c>
    </row>
    <row r="59" spans="1:15">
      <c r="A59" s="65">
        <v>2012</v>
      </c>
      <c r="B59" s="66" t="s">
        <v>169</v>
      </c>
      <c r="C59" s="66" t="s">
        <v>170</v>
      </c>
      <c r="D59" s="67">
        <v>1015042</v>
      </c>
      <c r="E59" s="67">
        <v>2</v>
      </c>
      <c r="F59" s="67"/>
      <c r="G59" s="67">
        <v>49</v>
      </c>
      <c r="H59" s="67" t="s">
        <v>148</v>
      </c>
      <c r="I59" s="67" t="s">
        <v>188</v>
      </c>
      <c r="J59" s="67" t="s">
        <v>79</v>
      </c>
      <c r="K59" s="67" t="b">
        <v>0</v>
      </c>
      <c r="L59" s="63">
        <v>2017</v>
      </c>
      <c r="M59" s="64">
        <v>905</v>
      </c>
      <c r="N59" s="68">
        <v>41087</v>
      </c>
      <c r="O59" s="68">
        <v>41087</v>
      </c>
    </row>
    <row r="60" spans="1:15">
      <c r="A60" s="65">
        <v>2012</v>
      </c>
      <c r="B60" s="66" t="s">
        <v>169</v>
      </c>
      <c r="C60" s="66" t="s">
        <v>170</v>
      </c>
      <c r="D60" s="67">
        <v>1015042</v>
      </c>
      <c r="E60" s="67">
        <v>2</v>
      </c>
      <c r="F60" s="67"/>
      <c r="G60" s="67">
        <v>49</v>
      </c>
      <c r="H60" s="67" t="s">
        <v>148</v>
      </c>
      <c r="I60" s="67" t="s">
        <v>188</v>
      </c>
      <c r="J60" s="67" t="s">
        <v>79</v>
      </c>
      <c r="K60" s="67" t="b">
        <v>0</v>
      </c>
      <c r="L60" s="63">
        <v>2014</v>
      </c>
      <c r="M60" s="64">
        <v>177</v>
      </c>
      <c r="N60" s="68">
        <v>41087</v>
      </c>
      <c r="O60" s="68">
        <v>41087</v>
      </c>
    </row>
    <row r="61" spans="1:15">
      <c r="A61" s="65">
        <v>2012</v>
      </c>
      <c r="B61" s="66" t="s">
        <v>169</v>
      </c>
      <c r="C61" s="66" t="s">
        <v>170</v>
      </c>
      <c r="D61" s="67">
        <v>1015042</v>
      </c>
      <c r="E61" s="67">
        <v>2</v>
      </c>
      <c r="F61" s="67"/>
      <c r="G61" s="67">
        <v>53</v>
      </c>
      <c r="H61" s="67">
        <v>26</v>
      </c>
      <c r="I61" s="67" t="s">
        <v>180</v>
      </c>
      <c r="J61" s="67" t="s">
        <v>151</v>
      </c>
      <c r="K61" s="67" t="b">
        <v>1</v>
      </c>
      <c r="L61" s="63">
        <v>2015</v>
      </c>
      <c r="M61" s="64">
        <v>8401495</v>
      </c>
      <c r="N61" s="68">
        <v>41087</v>
      </c>
      <c r="O61" s="68">
        <v>41087</v>
      </c>
    </row>
    <row r="62" spans="1:15">
      <c r="A62" s="65">
        <v>2012</v>
      </c>
      <c r="B62" s="66" t="s">
        <v>169</v>
      </c>
      <c r="C62" s="66" t="s">
        <v>170</v>
      </c>
      <c r="D62" s="67">
        <v>1015042</v>
      </c>
      <c r="E62" s="67">
        <v>2</v>
      </c>
      <c r="F62" s="67"/>
      <c r="G62" s="67">
        <v>37</v>
      </c>
      <c r="H62" s="67">
        <v>16</v>
      </c>
      <c r="I62" s="67"/>
      <c r="J62" s="67" t="s">
        <v>140</v>
      </c>
      <c r="K62" s="67" t="b">
        <v>1</v>
      </c>
      <c r="L62" s="63">
        <v>2012</v>
      </c>
      <c r="M62" s="64">
        <v>345594</v>
      </c>
      <c r="N62" s="68">
        <v>41087</v>
      </c>
      <c r="O62" s="68">
        <v>41087</v>
      </c>
    </row>
    <row r="63" spans="1:15">
      <c r="A63" s="65">
        <v>2012</v>
      </c>
      <c r="B63" s="66" t="s">
        <v>169</v>
      </c>
      <c r="C63" s="66" t="s">
        <v>170</v>
      </c>
      <c r="D63" s="67">
        <v>1015042</v>
      </c>
      <c r="E63" s="67">
        <v>2</v>
      </c>
      <c r="F63" s="67"/>
      <c r="G63" s="67">
        <v>19</v>
      </c>
      <c r="H63" s="67">
        <v>6</v>
      </c>
      <c r="I63" s="67" t="s">
        <v>189</v>
      </c>
      <c r="J63" s="67" t="s">
        <v>121</v>
      </c>
      <c r="K63" s="67" t="b">
        <v>0</v>
      </c>
      <c r="L63" s="63">
        <v>2018</v>
      </c>
      <c r="M63" s="64">
        <v>1173451</v>
      </c>
      <c r="N63" s="68">
        <v>41087</v>
      </c>
      <c r="O63" s="68">
        <v>41087</v>
      </c>
    </row>
    <row r="64" spans="1:15">
      <c r="A64" s="65">
        <v>2012</v>
      </c>
      <c r="B64" s="66" t="s">
        <v>169</v>
      </c>
      <c r="C64" s="66" t="s">
        <v>170</v>
      </c>
      <c r="D64" s="67">
        <v>1015042</v>
      </c>
      <c r="E64" s="67">
        <v>2</v>
      </c>
      <c r="F64" s="67"/>
      <c r="G64" s="67">
        <v>22</v>
      </c>
      <c r="H64" s="67" t="s">
        <v>124</v>
      </c>
      <c r="I64" s="67"/>
      <c r="J64" s="67" t="s">
        <v>125</v>
      </c>
      <c r="K64" s="67" t="b">
        <v>1</v>
      </c>
      <c r="L64" s="63">
        <v>2012</v>
      </c>
      <c r="M64" s="64">
        <v>304294</v>
      </c>
      <c r="N64" s="68">
        <v>41087</v>
      </c>
      <c r="O64" s="68">
        <v>41087</v>
      </c>
    </row>
    <row r="65" spans="1:15">
      <c r="A65" s="65">
        <v>2012</v>
      </c>
      <c r="B65" s="66" t="s">
        <v>169</v>
      </c>
      <c r="C65" s="66" t="s">
        <v>170</v>
      </c>
      <c r="D65" s="67">
        <v>1015042</v>
      </c>
      <c r="E65" s="67">
        <v>2</v>
      </c>
      <c r="F65" s="67"/>
      <c r="G65" s="67">
        <v>50</v>
      </c>
      <c r="H65" s="67">
        <v>23</v>
      </c>
      <c r="I65" s="67" t="s">
        <v>172</v>
      </c>
      <c r="J65" s="67" t="s">
        <v>149</v>
      </c>
      <c r="K65" s="67" t="b">
        <v>1</v>
      </c>
      <c r="L65" s="63">
        <v>2016</v>
      </c>
      <c r="M65" s="64">
        <v>8611532</v>
      </c>
      <c r="N65" s="68">
        <v>41087</v>
      </c>
      <c r="O65" s="68">
        <v>41087</v>
      </c>
    </row>
    <row r="66" spans="1:15">
      <c r="A66" s="65">
        <v>2012</v>
      </c>
      <c r="B66" s="66" t="s">
        <v>169</v>
      </c>
      <c r="C66" s="66" t="s">
        <v>170</v>
      </c>
      <c r="D66" s="67">
        <v>1015042</v>
      </c>
      <c r="E66" s="67">
        <v>2</v>
      </c>
      <c r="F66" s="67"/>
      <c r="G66" s="67">
        <v>44</v>
      </c>
      <c r="H66" s="67">
        <v>20</v>
      </c>
      <c r="I66" s="67" t="s">
        <v>181</v>
      </c>
      <c r="J66" s="67" t="s">
        <v>145</v>
      </c>
      <c r="K66" s="67" t="b">
        <v>1</v>
      </c>
      <c r="L66" s="63">
        <v>2012</v>
      </c>
      <c r="M66" s="64">
        <v>9.4600000000000004E-2</v>
      </c>
      <c r="N66" s="68">
        <v>41087</v>
      </c>
      <c r="O66" s="68">
        <v>41087</v>
      </c>
    </row>
    <row r="67" spans="1:15">
      <c r="A67" s="65">
        <v>2012</v>
      </c>
      <c r="B67" s="66" t="s">
        <v>169</v>
      </c>
      <c r="C67" s="66" t="s">
        <v>170</v>
      </c>
      <c r="D67" s="67">
        <v>1015042</v>
      </c>
      <c r="E67" s="67">
        <v>2</v>
      </c>
      <c r="F67" s="67"/>
      <c r="G67" s="67">
        <v>6</v>
      </c>
      <c r="H67" s="67" t="s">
        <v>102</v>
      </c>
      <c r="I67" s="67"/>
      <c r="J67" s="67" t="s">
        <v>103</v>
      </c>
      <c r="K67" s="67" t="b">
        <v>1</v>
      </c>
      <c r="L67" s="63">
        <v>2012</v>
      </c>
      <c r="M67" s="64">
        <v>1359493</v>
      </c>
      <c r="N67" s="68">
        <v>41087</v>
      </c>
      <c r="O67" s="68">
        <v>41087</v>
      </c>
    </row>
    <row r="68" spans="1:15">
      <c r="A68" s="65">
        <v>2012</v>
      </c>
      <c r="B68" s="66" t="s">
        <v>169</v>
      </c>
      <c r="C68" s="66" t="s">
        <v>170</v>
      </c>
      <c r="D68" s="67">
        <v>1015042</v>
      </c>
      <c r="E68" s="67">
        <v>2</v>
      </c>
      <c r="F68" s="67"/>
      <c r="G68" s="67">
        <v>49</v>
      </c>
      <c r="H68" s="67" t="s">
        <v>148</v>
      </c>
      <c r="I68" s="67" t="s">
        <v>188</v>
      </c>
      <c r="J68" s="67" t="s">
        <v>79</v>
      </c>
      <c r="K68" s="67" t="b">
        <v>0</v>
      </c>
      <c r="L68" s="63">
        <v>2015</v>
      </c>
      <c r="M68" s="64">
        <v>688</v>
      </c>
      <c r="N68" s="68">
        <v>41087</v>
      </c>
      <c r="O68" s="68">
        <v>41087</v>
      </c>
    </row>
    <row r="69" spans="1:15">
      <c r="A69" s="65">
        <v>2012</v>
      </c>
      <c r="B69" s="66" t="s">
        <v>169</v>
      </c>
      <c r="C69" s="66" t="s">
        <v>170</v>
      </c>
      <c r="D69" s="67">
        <v>1015042</v>
      </c>
      <c r="E69" s="67">
        <v>2</v>
      </c>
      <c r="F69" s="67"/>
      <c r="G69" s="67">
        <v>8</v>
      </c>
      <c r="H69" s="67" t="s">
        <v>104</v>
      </c>
      <c r="I69" s="67"/>
      <c r="J69" s="67" t="s">
        <v>105</v>
      </c>
      <c r="K69" s="67" t="b">
        <v>0</v>
      </c>
      <c r="L69" s="63">
        <v>2017</v>
      </c>
      <c r="M69" s="64">
        <v>3579485</v>
      </c>
      <c r="N69" s="68">
        <v>41087</v>
      </c>
      <c r="O69" s="68">
        <v>41087</v>
      </c>
    </row>
    <row r="70" spans="1:15">
      <c r="A70" s="65">
        <v>2012</v>
      </c>
      <c r="B70" s="66" t="s">
        <v>169</v>
      </c>
      <c r="C70" s="66" t="s">
        <v>170</v>
      </c>
      <c r="D70" s="67">
        <v>1015042</v>
      </c>
      <c r="E70" s="67">
        <v>2</v>
      </c>
      <c r="F70" s="67"/>
      <c r="G70" s="67">
        <v>8</v>
      </c>
      <c r="H70" s="67" t="s">
        <v>104</v>
      </c>
      <c r="I70" s="67"/>
      <c r="J70" s="67" t="s">
        <v>105</v>
      </c>
      <c r="K70" s="67" t="b">
        <v>0</v>
      </c>
      <c r="L70" s="63">
        <v>2013</v>
      </c>
      <c r="M70" s="64">
        <v>3170491</v>
      </c>
      <c r="N70" s="68">
        <v>41087</v>
      </c>
      <c r="O70" s="68">
        <v>41087</v>
      </c>
    </row>
    <row r="71" spans="1:15">
      <c r="A71" s="65">
        <v>2012</v>
      </c>
      <c r="B71" s="66" t="s">
        <v>169</v>
      </c>
      <c r="C71" s="66" t="s">
        <v>170</v>
      </c>
      <c r="D71" s="67">
        <v>1015042</v>
      </c>
      <c r="E71" s="67">
        <v>2</v>
      </c>
      <c r="F71" s="67"/>
      <c r="G71" s="67">
        <v>46</v>
      </c>
      <c r="H71" s="67">
        <v>21</v>
      </c>
      <c r="I71" s="67" t="s">
        <v>190</v>
      </c>
      <c r="J71" s="67" t="s">
        <v>54</v>
      </c>
      <c r="K71" s="67" t="b">
        <v>1</v>
      </c>
      <c r="L71" s="63">
        <v>2018</v>
      </c>
      <c r="M71" s="64">
        <v>1.6899999999999998E-2</v>
      </c>
      <c r="N71" s="68">
        <v>41087</v>
      </c>
      <c r="O71" s="68">
        <v>41087</v>
      </c>
    </row>
    <row r="72" spans="1:15">
      <c r="A72" s="65">
        <v>2012</v>
      </c>
      <c r="B72" s="66" t="s">
        <v>169</v>
      </c>
      <c r="C72" s="66" t="s">
        <v>170</v>
      </c>
      <c r="D72" s="67">
        <v>1015042</v>
      </c>
      <c r="E72" s="67">
        <v>2</v>
      </c>
      <c r="F72" s="67"/>
      <c r="G72" s="67">
        <v>40</v>
      </c>
      <c r="H72" s="67">
        <v>18</v>
      </c>
      <c r="I72" s="67" t="s">
        <v>178</v>
      </c>
      <c r="J72" s="67" t="s">
        <v>69</v>
      </c>
      <c r="K72" s="67" t="b">
        <v>0</v>
      </c>
      <c r="L72" s="63">
        <v>2016</v>
      </c>
      <c r="M72" s="64">
        <v>6.1400000000000003E-2</v>
      </c>
      <c r="N72" s="68">
        <v>41087</v>
      </c>
      <c r="O72" s="68">
        <v>41087</v>
      </c>
    </row>
    <row r="73" spans="1:15">
      <c r="A73" s="65">
        <v>2012</v>
      </c>
      <c r="B73" s="66" t="s">
        <v>169</v>
      </c>
      <c r="C73" s="66" t="s">
        <v>170</v>
      </c>
      <c r="D73" s="67">
        <v>1015042</v>
      </c>
      <c r="E73" s="67">
        <v>2</v>
      </c>
      <c r="F73" s="67"/>
      <c r="G73" s="67">
        <v>9</v>
      </c>
      <c r="H73" s="67" t="s">
        <v>106</v>
      </c>
      <c r="I73" s="67"/>
      <c r="J73" s="67" t="s">
        <v>107</v>
      </c>
      <c r="K73" s="67" t="b">
        <v>0</v>
      </c>
      <c r="L73" s="63">
        <v>2015</v>
      </c>
      <c r="M73" s="64">
        <v>1132633</v>
      </c>
      <c r="N73" s="68">
        <v>41087</v>
      </c>
      <c r="O73" s="68">
        <v>41087</v>
      </c>
    </row>
    <row r="74" spans="1:15">
      <c r="A74" s="65">
        <v>2012</v>
      </c>
      <c r="B74" s="66" t="s">
        <v>169</v>
      </c>
      <c r="C74" s="66" t="s">
        <v>170</v>
      </c>
      <c r="D74" s="67">
        <v>1015042</v>
      </c>
      <c r="E74" s="67">
        <v>2</v>
      </c>
      <c r="F74" s="67"/>
      <c r="G74" s="67">
        <v>24</v>
      </c>
      <c r="H74" s="67" t="s">
        <v>128</v>
      </c>
      <c r="I74" s="67"/>
      <c r="J74" s="67" t="s">
        <v>129</v>
      </c>
      <c r="K74" s="67" t="b">
        <v>1</v>
      </c>
      <c r="L74" s="63">
        <v>2015</v>
      </c>
      <c r="M74" s="64">
        <v>75807</v>
      </c>
      <c r="N74" s="68">
        <v>41087</v>
      </c>
      <c r="O74" s="68">
        <v>41087</v>
      </c>
    </row>
    <row r="75" spans="1:15">
      <c r="A75" s="65">
        <v>2012</v>
      </c>
      <c r="B75" s="66" t="s">
        <v>169</v>
      </c>
      <c r="C75" s="66" t="s">
        <v>170</v>
      </c>
      <c r="D75" s="67">
        <v>1015042</v>
      </c>
      <c r="E75" s="67">
        <v>2</v>
      </c>
      <c r="F75" s="67"/>
      <c r="G75" s="67">
        <v>27</v>
      </c>
      <c r="H75" s="67">
        <v>10</v>
      </c>
      <c r="I75" s="67"/>
      <c r="J75" s="67" t="s">
        <v>18</v>
      </c>
      <c r="K75" s="67" t="b">
        <v>0</v>
      </c>
      <c r="L75" s="63">
        <v>2015</v>
      </c>
      <c r="M75" s="64">
        <v>723076</v>
      </c>
      <c r="N75" s="68">
        <v>41087</v>
      </c>
      <c r="O75" s="68">
        <v>41087</v>
      </c>
    </row>
    <row r="76" spans="1:15">
      <c r="A76" s="65">
        <v>2012</v>
      </c>
      <c r="B76" s="66" t="s">
        <v>169</v>
      </c>
      <c r="C76" s="66" t="s">
        <v>170</v>
      </c>
      <c r="D76" s="67">
        <v>1015042</v>
      </c>
      <c r="E76" s="67">
        <v>2</v>
      </c>
      <c r="F76" s="67"/>
      <c r="G76" s="67">
        <v>47</v>
      </c>
      <c r="H76" s="67" t="s">
        <v>147</v>
      </c>
      <c r="I76" s="67" t="s">
        <v>186</v>
      </c>
      <c r="J76" s="67" t="s">
        <v>76</v>
      </c>
      <c r="K76" s="67" t="b">
        <v>0</v>
      </c>
      <c r="L76" s="63">
        <v>2016</v>
      </c>
      <c r="M76" s="64">
        <v>856</v>
      </c>
      <c r="N76" s="68">
        <v>41087</v>
      </c>
      <c r="O76" s="68">
        <v>41087</v>
      </c>
    </row>
    <row r="77" spans="1:15">
      <c r="A77" s="65">
        <v>2012</v>
      </c>
      <c r="B77" s="66" t="s">
        <v>169</v>
      </c>
      <c r="C77" s="66" t="s">
        <v>170</v>
      </c>
      <c r="D77" s="67">
        <v>1015042</v>
      </c>
      <c r="E77" s="67">
        <v>2</v>
      </c>
      <c r="F77" s="67"/>
      <c r="G77" s="67">
        <v>1</v>
      </c>
      <c r="H77" s="67">
        <v>1</v>
      </c>
      <c r="I77" s="67" t="s">
        <v>183</v>
      </c>
      <c r="J77" s="67" t="s">
        <v>93</v>
      </c>
      <c r="K77" s="67" t="b">
        <v>1</v>
      </c>
      <c r="L77" s="63">
        <v>2018</v>
      </c>
      <c r="M77" s="64">
        <v>9047491</v>
      </c>
      <c r="N77" s="68">
        <v>41087</v>
      </c>
      <c r="O77" s="68">
        <v>41087</v>
      </c>
    </row>
    <row r="78" spans="1:15">
      <c r="A78" s="65">
        <v>2012</v>
      </c>
      <c r="B78" s="66" t="s">
        <v>169</v>
      </c>
      <c r="C78" s="66" t="s">
        <v>170</v>
      </c>
      <c r="D78" s="67">
        <v>1015042</v>
      </c>
      <c r="E78" s="67">
        <v>2</v>
      </c>
      <c r="F78" s="67"/>
      <c r="G78" s="67">
        <v>2</v>
      </c>
      <c r="H78" s="67" t="s">
        <v>94</v>
      </c>
      <c r="I78" s="67"/>
      <c r="J78" s="67" t="s">
        <v>95</v>
      </c>
      <c r="K78" s="67" t="b">
        <v>1</v>
      </c>
      <c r="L78" s="63">
        <v>2012</v>
      </c>
      <c r="M78" s="64">
        <v>7927158.0499999998</v>
      </c>
      <c r="N78" s="68">
        <v>41087</v>
      </c>
      <c r="O78" s="68">
        <v>41087</v>
      </c>
    </row>
    <row r="79" spans="1:15">
      <c r="A79" s="65">
        <v>2012</v>
      </c>
      <c r="B79" s="66" t="s">
        <v>169</v>
      </c>
      <c r="C79" s="66" t="s">
        <v>170</v>
      </c>
      <c r="D79" s="67">
        <v>1015042</v>
      </c>
      <c r="E79" s="67">
        <v>2</v>
      </c>
      <c r="F79" s="67"/>
      <c r="G79" s="67">
        <v>14</v>
      </c>
      <c r="H79" s="67">
        <v>3</v>
      </c>
      <c r="I79" s="67" t="s">
        <v>187</v>
      </c>
      <c r="J79" s="67" t="s">
        <v>116</v>
      </c>
      <c r="K79" s="67" t="b">
        <v>1</v>
      </c>
      <c r="L79" s="63">
        <v>2014</v>
      </c>
      <c r="M79" s="64">
        <v>1300786</v>
      </c>
      <c r="N79" s="68">
        <v>41087</v>
      </c>
      <c r="O79" s="68">
        <v>41087</v>
      </c>
    </row>
    <row r="80" spans="1:15">
      <c r="A80" s="65">
        <v>2012</v>
      </c>
      <c r="B80" s="66" t="s">
        <v>169</v>
      </c>
      <c r="C80" s="66" t="s">
        <v>170</v>
      </c>
      <c r="D80" s="67">
        <v>1015042</v>
      </c>
      <c r="E80" s="67">
        <v>2</v>
      </c>
      <c r="F80" s="67"/>
      <c r="G80" s="67">
        <v>9</v>
      </c>
      <c r="H80" s="67" t="s">
        <v>106</v>
      </c>
      <c r="I80" s="67"/>
      <c r="J80" s="67" t="s">
        <v>107</v>
      </c>
      <c r="K80" s="67" t="b">
        <v>0</v>
      </c>
      <c r="L80" s="63">
        <v>2013</v>
      </c>
      <c r="M80" s="64">
        <v>1080741</v>
      </c>
      <c r="N80" s="68">
        <v>41087</v>
      </c>
      <c r="O80" s="68">
        <v>41087</v>
      </c>
    </row>
    <row r="81" spans="1:15">
      <c r="A81" s="65">
        <v>2012</v>
      </c>
      <c r="B81" s="66" t="s">
        <v>169</v>
      </c>
      <c r="C81" s="66" t="s">
        <v>170</v>
      </c>
      <c r="D81" s="67">
        <v>1015042</v>
      </c>
      <c r="E81" s="67">
        <v>2</v>
      </c>
      <c r="F81" s="67"/>
      <c r="G81" s="67">
        <v>41</v>
      </c>
      <c r="H81" s="67" t="s">
        <v>143</v>
      </c>
      <c r="I81" s="67" t="s">
        <v>191</v>
      </c>
      <c r="J81" s="67" t="s">
        <v>71</v>
      </c>
      <c r="K81" s="67" t="b">
        <v>0</v>
      </c>
      <c r="L81" s="63">
        <v>2013</v>
      </c>
      <c r="M81" s="64">
        <v>0.20130000000000001</v>
      </c>
      <c r="N81" s="68">
        <v>41087</v>
      </c>
      <c r="O81" s="68">
        <v>41087</v>
      </c>
    </row>
    <row r="82" spans="1:15">
      <c r="A82" s="65">
        <v>2012</v>
      </c>
      <c r="B82" s="66" t="s">
        <v>169</v>
      </c>
      <c r="C82" s="66" t="s">
        <v>170</v>
      </c>
      <c r="D82" s="67">
        <v>1015042</v>
      </c>
      <c r="E82" s="67">
        <v>2</v>
      </c>
      <c r="F82" s="67"/>
      <c r="G82" s="67">
        <v>23</v>
      </c>
      <c r="H82" s="67" t="s">
        <v>126</v>
      </c>
      <c r="I82" s="67"/>
      <c r="J82" s="67" t="s">
        <v>127</v>
      </c>
      <c r="K82" s="67" t="b">
        <v>1</v>
      </c>
      <c r="L82" s="63">
        <v>2012</v>
      </c>
      <c r="M82" s="64">
        <v>115000</v>
      </c>
      <c r="N82" s="68">
        <v>41087</v>
      </c>
      <c r="O82" s="68">
        <v>41087</v>
      </c>
    </row>
    <row r="83" spans="1:15">
      <c r="A83" s="65">
        <v>2012</v>
      </c>
      <c r="B83" s="66" t="s">
        <v>169</v>
      </c>
      <c r="C83" s="66" t="s">
        <v>170</v>
      </c>
      <c r="D83" s="67">
        <v>1015042</v>
      </c>
      <c r="E83" s="67">
        <v>2</v>
      </c>
      <c r="F83" s="67"/>
      <c r="G83" s="67">
        <v>56</v>
      </c>
      <c r="H83" s="67">
        <v>29</v>
      </c>
      <c r="I83" s="67" t="s">
        <v>192</v>
      </c>
      <c r="J83" s="67" t="s">
        <v>152</v>
      </c>
      <c r="K83" s="67" t="b">
        <v>0</v>
      </c>
      <c r="L83" s="63">
        <v>2013</v>
      </c>
      <c r="M83" s="64">
        <v>460000</v>
      </c>
      <c r="N83" s="68">
        <v>41087</v>
      </c>
      <c r="O83" s="68">
        <v>41087</v>
      </c>
    </row>
    <row r="84" spans="1:15">
      <c r="A84" s="65">
        <v>2012</v>
      </c>
      <c r="B84" s="66" t="s">
        <v>169</v>
      </c>
      <c r="C84" s="66" t="s">
        <v>170</v>
      </c>
      <c r="D84" s="67">
        <v>1015042</v>
      </c>
      <c r="E84" s="67">
        <v>2</v>
      </c>
      <c r="F84" s="67"/>
      <c r="G84" s="67">
        <v>14</v>
      </c>
      <c r="H84" s="67">
        <v>3</v>
      </c>
      <c r="I84" s="67" t="s">
        <v>187</v>
      </c>
      <c r="J84" s="67" t="s">
        <v>116</v>
      </c>
      <c r="K84" s="67" t="b">
        <v>1</v>
      </c>
      <c r="L84" s="63">
        <v>2015</v>
      </c>
      <c r="M84" s="64">
        <v>1195634</v>
      </c>
      <c r="N84" s="68">
        <v>41087</v>
      </c>
      <c r="O84" s="68">
        <v>41087</v>
      </c>
    </row>
    <row r="85" spans="1:15">
      <c r="A85" s="65">
        <v>2012</v>
      </c>
      <c r="B85" s="66" t="s">
        <v>169</v>
      </c>
      <c r="C85" s="66" t="s">
        <v>170</v>
      </c>
      <c r="D85" s="67">
        <v>1015042</v>
      </c>
      <c r="E85" s="67">
        <v>2</v>
      </c>
      <c r="F85" s="67"/>
      <c r="G85" s="67">
        <v>50</v>
      </c>
      <c r="H85" s="67">
        <v>23</v>
      </c>
      <c r="I85" s="67" t="s">
        <v>172</v>
      </c>
      <c r="J85" s="67" t="s">
        <v>149</v>
      </c>
      <c r="K85" s="67" t="b">
        <v>1</v>
      </c>
      <c r="L85" s="63">
        <v>2018</v>
      </c>
      <c r="M85" s="64">
        <v>9047491</v>
      </c>
      <c r="N85" s="68">
        <v>41087</v>
      </c>
      <c r="O85" s="68">
        <v>41087</v>
      </c>
    </row>
    <row r="86" spans="1:15">
      <c r="A86" s="65">
        <v>2012</v>
      </c>
      <c r="B86" s="66" t="s">
        <v>169</v>
      </c>
      <c r="C86" s="66" t="s">
        <v>170</v>
      </c>
      <c r="D86" s="67">
        <v>1015042</v>
      </c>
      <c r="E86" s="67">
        <v>2</v>
      </c>
      <c r="F86" s="67"/>
      <c r="G86" s="67">
        <v>21</v>
      </c>
      <c r="H86" s="67" t="s">
        <v>122</v>
      </c>
      <c r="I86" s="67"/>
      <c r="J86" s="67" t="s">
        <v>123</v>
      </c>
      <c r="K86" s="67" t="b">
        <v>1</v>
      </c>
      <c r="L86" s="63">
        <v>2018</v>
      </c>
      <c r="M86" s="64">
        <v>148818</v>
      </c>
      <c r="N86" s="68">
        <v>41087</v>
      </c>
      <c r="O86" s="68">
        <v>41087</v>
      </c>
    </row>
    <row r="87" spans="1:15">
      <c r="A87" s="65">
        <v>2012</v>
      </c>
      <c r="B87" s="66" t="s">
        <v>169</v>
      </c>
      <c r="C87" s="66" t="s">
        <v>170</v>
      </c>
      <c r="D87" s="67">
        <v>1015042</v>
      </c>
      <c r="E87" s="67">
        <v>2</v>
      </c>
      <c r="F87" s="67"/>
      <c r="G87" s="67">
        <v>19</v>
      </c>
      <c r="H87" s="67">
        <v>6</v>
      </c>
      <c r="I87" s="67" t="s">
        <v>189</v>
      </c>
      <c r="J87" s="67" t="s">
        <v>121</v>
      </c>
      <c r="K87" s="67" t="b">
        <v>0</v>
      </c>
      <c r="L87" s="63">
        <v>2016</v>
      </c>
      <c r="M87" s="64">
        <v>1189495</v>
      </c>
      <c r="N87" s="68">
        <v>41087</v>
      </c>
      <c r="O87" s="68">
        <v>41087</v>
      </c>
    </row>
    <row r="88" spans="1:15">
      <c r="A88" s="65">
        <v>2012</v>
      </c>
      <c r="B88" s="66" t="s">
        <v>169</v>
      </c>
      <c r="C88" s="66" t="s">
        <v>170</v>
      </c>
      <c r="D88" s="67">
        <v>1015042</v>
      </c>
      <c r="E88" s="67">
        <v>2</v>
      </c>
      <c r="F88" s="67"/>
      <c r="G88" s="67">
        <v>2</v>
      </c>
      <c r="H88" s="67" t="s">
        <v>94</v>
      </c>
      <c r="I88" s="67"/>
      <c r="J88" s="67" t="s">
        <v>95</v>
      </c>
      <c r="K88" s="67" t="b">
        <v>1</v>
      </c>
      <c r="L88" s="63">
        <v>2016</v>
      </c>
      <c r="M88" s="64">
        <v>8611532</v>
      </c>
      <c r="N88" s="68">
        <v>41087</v>
      </c>
      <c r="O88" s="68">
        <v>41087</v>
      </c>
    </row>
    <row r="89" spans="1:15">
      <c r="A89" s="65">
        <v>2012</v>
      </c>
      <c r="B89" s="66" t="s">
        <v>169</v>
      </c>
      <c r="C89" s="66" t="s">
        <v>170</v>
      </c>
      <c r="D89" s="67">
        <v>1015042</v>
      </c>
      <c r="E89" s="67">
        <v>2</v>
      </c>
      <c r="F89" s="67"/>
      <c r="G89" s="67">
        <v>42</v>
      </c>
      <c r="H89" s="67">
        <v>19</v>
      </c>
      <c r="I89" s="67" t="s">
        <v>182</v>
      </c>
      <c r="J89" s="67" t="s">
        <v>72</v>
      </c>
      <c r="K89" s="67" t="b">
        <v>1</v>
      </c>
      <c r="L89" s="63">
        <v>2013</v>
      </c>
      <c r="M89" s="64">
        <v>5.2999999999999999E-2</v>
      </c>
      <c r="N89" s="68">
        <v>41087</v>
      </c>
      <c r="O89" s="68">
        <v>41087</v>
      </c>
    </row>
    <row r="90" spans="1:15">
      <c r="A90" s="65">
        <v>2012</v>
      </c>
      <c r="B90" s="66" t="s">
        <v>169</v>
      </c>
      <c r="C90" s="66" t="s">
        <v>170</v>
      </c>
      <c r="D90" s="67">
        <v>1015042</v>
      </c>
      <c r="E90" s="67">
        <v>2</v>
      </c>
      <c r="F90" s="67"/>
      <c r="G90" s="67">
        <v>46</v>
      </c>
      <c r="H90" s="67">
        <v>21</v>
      </c>
      <c r="I90" s="67" t="s">
        <v>190</v>
      </c>
      <c r="J90" s="67" t="s">
        <v>54</v>
      </c>
      <c r="K90" s="67" t="b">
        <v>1</v>
      </c>
      <c r="L90" s="63">
        <v>2013</v>
      </c>
      <c r="M90" s="64">
        <v>5.2999999999999999E-2</v>
      </c>
      <c r="N90" s="68">
        <v>41087</v>
      </c>
      <c r="O90" s="68">
        <v>41087</v>
      </c>
    </row>
    <row r="91" spans="1:15">
      <c r="A91" s="65">
        <v>2012</v>
      </c>
      <c r="B91" s="66" t="s">
        <v>169</v>
      </c>
      <c r="C91" s="66" t="s">
        <v>170</v>
      </c>
      <c r="D91" s="67">
        <v>1015042</v>
      </c>
      <c r="E91" s="67">
        <v>2</v>
      </c>
      <c r="F91" s="67"/>
      <c r="G91" s="67">
        <v>23</v>
      </c>
      <c r="H91" s="67" t="s">
        <v>126</v>
      </c>
      <c r="I91" s="67"/>
      <c r="J91" s="67" t="s">
        <v>127</v>
      </c>
      <c r="K91" s="67" t="b">
        <v>1</v>
      </c>
      <c r="L91" s="63">
        <v>2016</v>
      </c>
      <c r="M91" s="64">
        <v>53338</v>
      </c>
      <c r="N91" s="68">
        <v>41087</v>
      </c>
      <c r="O91" s="68">
        <v>41087</v>
      </c>
    </row>
    <row r="92" spans="1:15">
      <c r="A92" s="65">
        <v>2012</v>
      </c>
      <c r="B92" s="66" t="s">
        <v>169</v>
      </c>
      <c r="C92" s="66" t="s">
        <v>170</v>
      </c>
      <c r="D92" s="67">
        <v>1015042</v>
      </c>
      <c r="E92" s="67">
        <v>2</v>
      </c>
      <c r="F92" s="67"/>
      <c r="G92" s="67">
        <v>50</v>
      </c>
      <c r="H92" s="67">
        <v>23</v>
      </c>
      <c r="I92" s="67" t="s">
        <v>172</v>
      </c>
      <c r="J92" s="67" t="s">
        <v>149</v>
      </c>
      <c r="K92" s="67" t="b">
        <v>1</v>
      </c>
      <c r="L92" s="63">
        <v>2015</v>
      </c>
      <c r="M92" s="64">
        <v>8401495</v>
      </c>
      <c r="N92" s="68">
        <v>41087</v>
      </c>
      <c r="O92" s="68">
        <v>41087</v>
      </c>
    </row>
    <row r="93" spans="1:15">
      <c r="A93" s="65">
        <v>2012</v>
      </c>
      <c r="B93" s="66" t="s">
        <v>169</v>
      </c>
      <c r="C93" s="66" t="s">
        <v>170</v>
      </c>
      <c r="D93" s="67">
        <v>1015042</v>
      </c>
      <c r="E93" s="67">
        <v>2</v>
      </c>
      <c r="F93" s="67"/>
      <c r="G93" s="67">
        <v>19</v>
      </c>
      <c r="H93" s="67">
        <v>6</v>
      </c>
      <c r="I93" s="67" t="s">
        <v>189</v>
      </c>
      <c r="J93" s="67" t="s">
        <v>121</v>
      </c>
      <c r="K93" s="67" t="b">
        <v>0</v>
      </c>
      <c r="L93" s="63">
        <v>2017</v>
      </c>
      <c r="M93" s="64">
        <v>1182122</v>
      </c>
      <c r="N93" s="68">
        <v>41087</v>
      </c>
      <c r="O93" s="68">
        <v>41087</v>
      </c>
    </row>
    <row r="94" spans="1:15">
      <c r="A94" s="65">
        <v>2012</v>
      </c>
      <c r="B94" s="66" t="s">
        <v>169</v>
      </c>
      <c r="C94" s="66" t="s">
        <v>170</v>
      </c>
      <c r="D94" s="67">
        <v>1015042</v>
      </c>
      <c r="E94" s="67">
        <v>2</v>
      </c>
      <c r="F94" s="67"/>
      <c r="G94" s="67">
        <v>51</v>
      </c>
      <c r="H94" s="67">
        <v>24</v>
      </c>
      <c r="I94" s="67" t="s">
        <v>184</v>
      </c>
      <c r="J94" s="67" t="s">
        <v>150</v>
      </c>
      <c r="K94" s="67" t="b">
        <v>1</v>
      </c>
      <c r="L94" s="63">
        <v>2012</v>
      </c>
      <c r="M94" s="64">
        <v>7157853.5499999998</v>
      </c>
      <c r="N94" s="68">
        <v>41087</v>
      </c>
      <c r="O94" s="68">
        <v>41087</v>
      </c>
    </row>
    <row r="95" spans="1:15">
      <c r="A95" s="65">
        <v>2012</v>
      </c>
      <c r="B95" s="66" t="s">
        <v>169</v>
      </c>
      <c r="C95" s="66" t="s">
        <v>170</v>
      </c>
      <c r="D95" s="67">
        <v>1015042</v>
      </c>
      <c r="E95" s="67">
        <v>2</v>
      </c>
      <c r="F95" s="67"/>
      <c r="G95" s="67">
        <v>55</v>
      </c>
      <c r="H95" s="67">
        <v>28</v>
      </c>
      <c r="I95" s="67" t="s">
        <v>176</v>
      </c>
      <c r="J95" s="67" t="s">
        <v>48</v>
      </c>
      <c r="K95" s="67" t="b">
        <v>0</v>
      </c>
      <c r="L95" s="63">
        <v>2016</v>
      </c>
      <c r="M95" s="64">
        <v>396751</v>
      </c>
      <c r="N95" s="68">
        <v>41087</v>
      </c>
      <c r="O95" s="68">
        <v>41087</v>
      </c>
    </row>
    <row r="96" spans="1:15">
      <c r="A96" s="65">
        <v>2012</v>
      </c>
      <c r="B96" s="66" t="s">
        <v>169</v>
      </c>
      <c r="C96" s="66" t="s">
        <v>170</v>
      </c>
      <c r="D96" s="67">
        <v>1015042</v>
      </c>
      <c r="E96" s="67">
        <v>2</v>
      </c>
      <c r="F96" s="67"/>
      <c r="G96" s="67">
        <v>33</v>
      </c>
      <c r="H96" s="67">
        <v>13</v>
      </c>
      <c r="I96" s="67"/>
      <c r="J96" s="67" t="s">
        <v>66</v>
      </c>
      <c r="K96" s="67" t="b">
        <v>1</v>
      </c>
      <c r="L96" s="63">
        <v>2014</v>
      </c>
      <c r="M96" s="64">
        <v>1321998</v>
      </c>
      <c r="N96" s="68">
        <v>41087</v>
      </c>
      <c r="O96" s="68">
        <v>41087</v>
      </c>
    </row>
    <row r="97" spans="1:15">
      <c r="A97" s="65">
        <v>2012</v>
      </c>
      <c r="B97" s="66" t="s">
        <v>169</v>
      </c>
      <c r="C97" s="66" t="s">
        <v>170</v>
      </c>
      <c r="D97" s="67">
        <v>1015042</v>
      </c>
      <c r="E97" s="67">
        <v>2</v>
      </c>
      <c r="F97" s="67"/>
      <c r="G97" s="67">
        <v>7</v>
      </c>
      <c r="H97" s="67">
        <v>2</v>
      </c>
      <c r="I97" s="67"/>
      <c r="J97" s="67" t="s">
        <v>3</v>
      </c>
      <c r="K97" s="67" t="b">
        <v>1</v>
      </c>
      <c r="L97" s="63">
        <v>2014</v>
      </c>
      <c r="M97" s="64">
        <v>6951771</v>
      </c>
      <c r="N97" s="68">
        <v>41087</v>
      </c>
      <c r="O97" s="68">
        <v>41087</v>
      </c>
    </row>
    <row r="98" spans="1:15">
      <c r="A98" s="65">
        <v>2012</v>
      </c>
      <c r="B98" s="66" t="s">
        <v>169</v>
      </c>
      <c r="C98" s="66" t="s">
        <v>170</v>
      </c>
      <c r="D98" s="67">
        <v>1015042</v>
      </c>
      <c r="E98" s="67">
        <v>2</v>
      </c>
      <c r="F98" s="67"/>
      <c r="G98" s="67">
        <v>46</v>
      </c>
      <c r="H98" s="67">
        <v>21</v>
      </c>
      <c r="I98" s="67" t="s">
        <v>190</v>
      </c>
      <c r="J98" s="67" t="s">
        <v>54</v>
      </c>
      <c r="K98" s="67" t="b">
        <v>1</v>
      </c>
      <c r="L98" s="63">
        <v>2012</v>
      </c>
      <c r="M98" s="64">
        <v>7.9000000000000001E-2</v>
      </c>
      <c r="N98" s="68">
        <v>41087</v>
      </c>
      <c r="O98" s="68">
        <v>41087</v>
      </c>
    </row>
    <row r="99" spans="1:15">
      <c r="A99" s="65">
        <v>2012</v>
      </c>
      <c r="B99" s="66" t="s">
        <v>169</v>
      </c>
      <c r="C99" s="66" t="s">
        <v>170</v>
      </c>
      <c r="D99" s="67">
        <v>1015042</v>
      </c>
      <c r="E99" s="67">
        <v>2</v>
      </c>
      <c r="F99" s="67"/>
      <c r="G99" s="67">
        <v>44</v>
      </c>
      <c r="H99" s="67">
        <v>20</v>
      </c>
      <c r="I99" s="67" t="s">
        <v>181</v>
      </c>
      <c r="J99" s="67" t="s">
        <v>145</v>
      </c>
      <c r="K99" s="67" t="b">
        <v>1</v>
      </c>
      <c r="L99" s="63">
        <v>2015</v>
      </c>
      <c r="M99" s="64">
        <v>0.1333</v>
      </c>
      <c r="N99" s="68">
        <v>41087</v>
      </c>
      <c r="O99" s="68">
        <v>41087</v>
      </c>
    </row>
    <row r="100" spans="1:15">
      <c r="A100" s="65">
        <v>2012</v>
      </c>
      <c r="B100" s="66" t="s">
        <v>169</v>
      </c>
      <c r="C100" s="66" t="s">
        <v>170</v>
      </c>
      <c r="D100" s="67">
        <v>1015042</v>
      </c>
      <c r="E100" s="67">
        <v>2</v>
      </c>
      <c r="F100" s="67"/>
      <c r="G100" s="67">
        <v>27</v>
      </c>
      <c r="H100" s="67">
        <v>10</v>
      </c>
      <c r="I100" s="67"/>
      <c r="J100" s="67" t="s">
        <v>18</v>
      </c>
      <c r="K100" s="67" t="b">
        <v>0</v>
      </c>
      <c r="L100" s="63">
        <v>2014</v>
      </c>
      <c r="M100" s="64">
        <v>727324</v>
      </c>
      <c r="N100" s="68">
        <v>41087</v>
      </c>
      <c r="O100" s="68">
        <v>41087</v>
      </c>
    </row>
    <row r="101" spans="1:15">
      <c r="A101" s="65">
        <v>2012</v>
      </c>
      <c r="B101" s="66" t="s">
        <v>169</v>
      </c>
      <c r="C101" s="66" t="s">
        <v>170</v>
      </c>
      <c r="D101" s="67">
        <v>1015042</v>
      </c>
      <c r="E101" s="67">
        <v>2</v>
      </c>
      <c r="F101" s="67"/>
      <c r="G101" s="67">
        <v>55</v>
      </c>
      <c r="H101" s="67">
        <v>28</v>
      </c>
      <c r="I101" s="67" t="s">
        <v>176</v>
      </c>
      <c r="J101" s="67" t="s">
        <v>48</v>
      </c>
      <c r="K101" s="67" t="b">
        <v>0</v>
      </c>
      <c r="L101" s="63">
        <v>2013</v>
      </c>
      <c r="M101" s="64">
        <v>-81312.639999999999</v>
      </c>
      <c r="N101" s="68">
        <v>41087</v>
      </c>
      <c r="O101" s="68">
        <v>41087</v>
      </c>
    </row>
    <row r="102" spans="1:15">
      <c r="A102" s="65">
        <v>2012</v>
      </c>
      <c r="B102" s="66" t="s">
        <v>169</v>
      </c>
      <c r="C102" s="66" t="s">
        <v>170</v>
      </c>
      <c r="D102" s="67">
        <v>1015042</v>
      </c>
      <c r="E102" s="67">
        <v>2</v>
      </c>
      <c r="F102" s="67"/>
      <c r="G102" s="67">
        <v>4</v>
      </c>
      <c r="H102" s="67" t="s">
        <v>98</v>
      </c>
      <c r="I102" s="67"/>
      <c r="J102" s="67" t="s">
        <v>99</v>
      </c>
      <c r="K102" s="67" t="b">
        <v>1</v>
      </c>
      <c r="L102" s="63">
        <v>2013</v>
      </c>
      <c r="M102" s="64">
        <v>917851</v>
      </c>
      <c r="N102" s="68">
        <v>41087</v>
      </c>
      <c r="O102" s="68">
        <v>41087</v>
      </c>
    </row>
    <row r="103" spans="1:15">
      <c r="A103" s="65">
        <v>2012</v>
      </c>
      <c r="B103" s="66" t="s">
        <v>169</v>
      </c>
      <c r="C103" s="66" t="s">
        <v>170</v>
      </c>
      <c r="D103" s="67">
        <v>1015042</v>
      </c>
      <c r="E103" s="67">
        <v>2</v>
      </c>
      <c r="F103" s="67"/>
      <c r="G103" s="67">
        <v>52</v>
      </c>
      <c r="H103" s="67">
        <v>25</v>
      </c>
      <c r="I103" s="67" t="s">
        <v>185</v>
      </c>
      <c r="J103" s="67" t="s">
        <v>49</v>
      </c>
      <c r="K103" s="67" t="b">
        <v>1</v>
      </c>
      <c r="L103" s="63">
        <v>2013</v>
      </c>
      <c r="M103" s="64">
        <v>1124342</v>
      </c>
      <c r="N103" s="68">
        <v>41087</v>
      </c>
      <c r="O103" s="68">
        <v>41087</v>
      </c>
    </row>
    <row r="104" spans="1:15">
      <c r="A104" s="65">
        <v>2012</v>
      </c>
      <c r="B104" s="66" t="s">
        <v>169</v>
      </c>
      <c r="C104" s="66" t="s">
        <v>170</v>
      </c>
      <c r="D104" s="67">
        <v>1015042</v>
      </c>
      <c r="E104" s="67">
        <v>2</v>
      </c>
      <c r="F104" s="67"/>
      <c r="G104" s="67">
        <v>42</v>
      </c>
      <c r="H104" s="67">
        <v>19</v>
      </c>
      <c r="I104" s="67" t="s">
        <v>182</v>
      </c>
      <c r="J104" s="67" t="s">
        <v>72</v>
      </c>
      <c r="K104" s="67" t="b">
        <v>1</v>
      </c>
      <c r="L104" s="63">
        <v>2014</v>
      </c>
      <c r="M104" s="64">
        <v>6.9500000000000006E-2</v>
      </c>
      <c r="N104" s="68">
        <v>41087</v>
      </c>
      <c r="O104" s="68">
        <v>41087</v>
      </c>
    </row>
    <row r="105" spans="1:15">
      <c r="A105" s="65">
        <v>2012</v>
      </c>
      <c r="B105" s="66" t="s">
        <v>169</v>
      </c>
      <c r="C105" s="66" t="s">
        <v>170</v>
      </c>
      <c r="D105" s="67">
        <v>1015042</v>
      </c>
      <c r="E105" s="67">
        <v>2</v>
      </c>
      <c r="F105" s="67"/>
      <c r="G105" s="67">
        <v>45</v>
      </c>
      <c r="H105" s="67" t="s">
        <v>146</v>
      </c>
      <c r="I105" s="67" t="s">
        <v>174</v>
      </c>
      <c r="J105" s="67" t="s">
        <v>53</v>
      </c>
      <c r="K105" s="67" t="b">
        <v>0</v>
      </c>
      <c r="L105" s="63">
        <v>2012</v>
      </c>
      <c r="M105" s="64">
        <v>0.13389999999999999</v>
      </c>
      <c r="N105" s="68">
        <v>41087</v>
      </c>
      <c r="O105" s="68">
        <v>41087</v>
      </c>
    </row>
    <row r="106" spans="1:15">
      <c r="A106" s="65">
        <v>2012</v>
      </c>
      <c r="B106" s="66" t="s">
        <v>169</v>
      </c>
      <c r="C106" s="66" t="s">
        <v>170</v>
      </c>
      <c r="D106" s="67">
        <v>1015042</v>
      </c>
      <c r="E106" s="67">
        <v>2</v>
      </c>
      <c r="F106" s="67"/>
      <c r="G106" s="67">
        <v>55</v>
      </c>
      <c r="H106" s="67">
        <v>28</v>
      </c>
      <c r="I106" s="67" t="s">
        <v>176</v>
      </c>
      <c r="J106" s="67" t="s">
        <v>48</v>
      </c>
      <c r="K106" s="67" t="b">
        <v>0</v>
      </c>
      <c r="L106" s="63">
        <v>2014</v>
      </c>
      <c r="M106" s="64">
        <v>472887</v>
      </c>
      <c r="N106" s="68">
        <v>41087</v>
      </c>
      <c r="O106" s="68">
        <v>41087</v>
      </c>
    </row>
    <row r="107" spans="1:15">
      <c r="A107" s="65">
        <v>2012</v>
      </c>
      <c r="B107" s="66" t="s">
        <v>169</v>
      </c>
      <c r="C107" s="66" t="s">
        <v>170</v>
      </c>
      <c r="D107" s="67">
        <v>1015042</v>
      </c>
      <c r="E107" s="67">
        <v>2</v>
      </c>
      <c r="F107" s="67"/>
      <c r="G107" s="67">
        <v>14</v>
      </c>
      <c r="H107" s="67">
        <v>3</v>
      </c>
      <c r="I107" s="67" t="s">
        <v>187</v>
      </c>
      <c r="J107" s="67" t="s">
        <v>116</v>
      </c>
      <c r="K107" s="67" t="b">
        <v>1</v>
      </c>
      <c r="L107" s="63">
        <v>2013</v>
      </c>
      <c r="M107" s="64">
        <v>2136043</v>
      </c>
      <c r="N107" s="68">
        <v>41087</v>
      </c>
      <c r="O107" s="68">
        <v>41087</v>
      </c>
    </row>
    <row r="108" spans="1:15">
      <c r="A108" s="65">
        <v>2012</v>
      </c>
      <c r="B108" s="66" t="s">
        <v>169</v>
      </c>
      <c r="C108" s="66" t="s">
        <v>170</v>
      </c>
      <c r="D108" s="67">
        <v>1015042</v>
      </c>
      <c r="E108" s="67">
        <v>2</v>
      </c>
      <c r="F108" s="67"/>
      <c r="G108" s="67">
        <v>54</v>
      </c>
      <c r="H108" s="67">
        <v>27</v>
      </c>
      <c r="I108" s="67" t="s">
        <v>177</v>
      </c>
      <c r="J108" s="67" t="s">
        <v>46</v>
      </c>
      <c r="K108" s="67" t="b">
        <v>0</v>
      </c>
      <c r="L108" s="63">
        <v>2016</v>
      </c>
      <c r="M108" s="64">
        <v>8214781</v>
      </c>
      <c r="N108" s="68">
        <v>41087</v>
      </c>
      <c r="O108" s="68">
        <v>41087</v>
      </c>
    </row>
    <row r="109" spans="1:15">
      <c r="A109" s="65">
        <v>2012</v>
      </c>
      <c r="B109" s="66" t="s">
        <v>169</v>
      </c>
      <c r="C109" s="66" t="s">
        <v>170</v>
      </c>
      <c r="D109" s="67">
        <v>1015042</v>
      </c>
      <c r="E109" s="67">
        <v>2</v>
      </c>
      <c r="F109" s="67"/>
      <c r="G109" s="67">
        <v>29</v>
      </c>
      <c r="H109" s="67" t="s">
        <v>134</v>
      </c>
      <c r="I109" s="67"/>
      <c r="J109" s="67" t="s">
        <v>115</v>
      </c>
      <c r="K109" s="67" t="b">
        <v>0</v>
      </c>
      <c r="L109" s="63">
        <v>2012</v>
      </c>
      <c r="M109" s="64">
        <v>781422.17</v>
      </c>
      <c r="N109" s="68">
        <v>41087</v>
      </c>
      <c r="O109" s="68">
        <v>41087</v>
      </c>
    </row>
    <row r="110" spans="1:15">
      <c r="A110" s="65">
        <v>2012</v>
      </c>
      <c r="B110" s="66" t="s">
        <v>169</v>
      </c>
      <c r="C110" s="66" t="s">
        <v>170</v>
      </c>
      <c r="D110" s="67">
        <v>1015042</v>
      </c>
      <c r="E110" s="67">
        <v>2</v>
      </c>
      <c r="F110" s="67"/>
      <c r="G110" s="67">
        <v>1</v>
      </c>
      <c r="H110" s="67">
        <v>1</v>
      </c>
      <c r="I110" s="67" t="s">
        <v>183</v>
      </c>
      <c r="J110" s="67" t="s">
        <v>93</v>
      </c>
      <c r="K110" s="67" t="b">
        <v>1</v>
      </c>
      <c r="L110" s="63">
        <v>2017</v>
      </c>
      <c r="M110" s="64">
        <v>8826820</v>
      </c>
      <c r="N110" s="68">
        <v>41087</v>
      </c>
      <c r="O110" s="68">
        <v>41087</v>
      </c>
    </row>
    <row r="111" spans="1:15">
      <c r="A111" s="65">
        <v>2012</v>
      </c>
      <c r="B111" s="66" t="s">
        <v>169</v>
      </c>
      <c r="C111" s="66" t="s">
        <v>170</v>
      </c>
      <c r="D111" s="67">
        <v>1015042</v>
      </c>
      <c r="E111" s="67">
        <v>2</v>
      </c>
      <c r="F111" s="67"/>
      <c r="G111" s="67">
        <v>52</v>
      </c>
      <c r="H111" s="67">
        <v>25</v>
      </c>
      <c r="I111" s="67" t="s">
        <v>185</v>
      </c>
      <c r="J111" s="67" t="s">
        <v>49</v>
      </c>
      <c r="K111" s="67" t="b">
        <v>1</v>
      </c>
      <c r="L111" s="63">
        <v>2012</v>
      </c>
      <c r="M111" s="64">
        <v>769304.5</v>
      </c>
      <c r="N111" s="68">
        <v>41087</v>
      </c>
      <c r="O111" s="68">
        <v>41087</v>
      </c>
    </row>
    <row r="112" spans="1:15">
      <c r="A112" s="65">
        <v>2012</v>
      </c>
      <c r="B112" s="66" t="s">
        <v>169</v>
      </c>
      <c r="C112" s="66" t="s">
        <v>170</v>
      </c>
      <c r="D112" s="67">
        <v>1015042</v>
      </c>
      <c r="E112" s="67">
        <v>2</v>
      </c>
      <c r="F112" s="67"/>
      <c r="G112" s="67">
        <v>27</v>
      </c>
      <c r="H112" s="67">
        <v>10</v>
      </c>
      <c r="I112" s="67"/>
      <c r="J112" s="67" t="s">
        <v>18</v>
      </c>
      <c r="K112" s="67" t="b">
        <v>0</v>
      </c>
      <c r="L112" s="63">
        <v>2018</v>
      </c>
      <c r="M112" s="64">
        <v>1020768</v>
      </c>
      <c r="N112" s="68">
        <v>41087</v>
      </c>
      <c r="O112" s="68">
        <v>41087</v>
      </c>
    </row>
    <row r="113" spans="1:15">
      <c r="A113" s="65">
        <v>2012</v>
      </c>
      <c r="B113" s="66" t="s">
        <v>169</v>
      </c>
      <c r="C113" s="66" t="s">
        <v>170</v>
      </c>
      <c r="D113" s="67">
        <v>1015042</v>
      </c>
      <c r="E113" s="67">
        <v>2</v>
      </c>
      <c r="F113" s="67"/>
      <c r="G113" s="67">
        <v>24</v>
      </c>
      <c r="H113" s="67" t="s">
        <v>128</v>
      </c>
      <c r="I113" s="67"/>
      <c r="J113" s="67" t="s">
        <v>129</v>
      </c>
      <c r="K113" s="67" t="b">
        <v>1</v>
      </c>
      <c r="L113" s="63">
        <v>2017</v>
      </c>
      <c r="M113" s="64">
        <v>29969</v>
      </c>
      <c r="N113" s="68">
        <v>41087</v>
      </c>
      <c r="O113" s="68">
        <v>41087</v>
      </c>
    </row>
    <row r="114" spans="1:15">
      <c r="A114" s="65">
        <v>2012</v>
      </c>
      <c r="B114" s="66" t="s">
        <v>169</v>
      </c>
      <c r="C114" s="66" t="s">
        <v>170</v>
      </c>
      <c r="D114" s="67">
        <v>1015042</v>
      </c>
      <c r="E114" s="67">
        <v>2</v>
      </c>
      <c r="F114" s="67"/>
      <c r="G114" s="67">
        <v>26</v>
      </c>
      <c r="H114" s="67">
        <v>9</v>
      </c>
      <c r="I114" s="67" t="s">
        <v>175</v>
      </c>
      <c r="J114" s="67" t="s">
        <v>131</v>
      </c>
      <c r="K114" s="67" t="b">
        <v>0</v>
      </c>
      <c r="L114" s="63">
        <v>2013</v>
      </c>
      <c r="M114" s="64">
        <v>1663505.64</v>
      </c>
      <c r="N114" s="68">
        <v>41087</v>
      </c>
      <c r="O114" s="68">
        <v>41087</v>
      </c>
    </row>
    <row r="115" spans="1:15">
      <c r="A115" s="65">
        <v>2012</v>
      </c>
      <c r="B115" s="66" t="s">
        <v>169</v>
      </c>
      <c r="C115" s="66" t="s">
        <v>170</v>
      </c>
      <c r="D115" s="67">
        <v>1015042</v>
      </c>
      <c r="E115" s="67">
        <v>2</v>
      </c>
      <c r="F115" s="67"/>
      <c r="G115" s="67">
        <v>56</v>
      </c>
      <c r="H115" s="67">
        <v>29</v>
      </c>
      <c r="I115" s="67" t="s">
        <v>192</v>
      </c>
      <c r="J115" s="67" t="s">
        <v>152</v>
      </c>
      <c r="K115" s="67" t="b">
        <v>0</v>
      </c>
      <c r="L115" s="63">
        <v>2012</v>
      </c>
      <c r="M115" s="64">
        <v>311500</v>
      </c>
      <c r="N115" s="68">
        <v>41087</v>
      </c>
      <c r="O115" s="68">
        <v>41087</v>
      </c>
    </row>
    <row r="116" spans="1:15">
      <c r="A116" s="65">
        <v>2012</v>
      </c>
      <c r="B116" s="66" t="s">
        <v>169</v>
      </c>
      <c r="C116" s="66" t="s">
        <v>170</v>
      </c>
      <c r="D116" s="67">
        <v>1015042</v>
      </c>
      <c r="E116" s="67">
        <v>2</v>
      </c>
      <c r="F116" s="67"/>
      <c r="G116" s="67">
        <v>7</v>
      </c>
      <c r="H116" s="67">
        <v>2</v>
      </c>
      <c r="I116" s="67"/>
      <c r="J116" s="67" t="s">
        <v>3</v>
      </c>
      <c r="K116" s="67" t="b">
        <v>1</v>
      </c>
      <c r="L116" s="63">
        <v>2015</v>
      </c>
      <c r="M116" s="64">
        <v>7205861</v>
      </c>
      <c r="N116" s="68">
        <v>41087</v>
      </c>
      <c r="O116" s="68">
        <v>41087</v>
      </c>
    </row>
    <row r="117" spans="1:15">
      <c r="A117" s="65">
        <v>2012</v>
      </c>
      <c r="B117" s="66" t="s">
        <v>169</v>
      </c>
      <c r="C117" s="66" t="s">
        <v>170</v>
      </c>
      <c r="D117" s="67">
        <v>1015042</v>
      </c>
      <c r="E117" s="67">
        <v>2</v>
      </c>
      <c r="F117" s="67"/>
      <c r="G117" s="67">
        <v>48</v>
      </c>
      <c r="H117" s="67">
        <v>22</v>
      </c>
      <c r="I117" s="67" t="s">
        <v>193</v>
      </c>
      <c r="J117" s="67" t="s">
        <v>77</v>
      </c>
      <c r="K117" s="67" t="b">
        <v>0</v>
      </c>
      <c r="L117" s="63">
        <v>2017</v>
      </c>
      <c r="M117" s="64">
        <v>4.6399999999999997E-2</v>
      </c>
      <c r="N117" s="68">
        <v>41087</v>
      </c>
      <c r="O117" s="68">
        <v>41087</v>
      </c>
    </row>
    <row r="118" spans="1:15">
      <c r="A118" s="65">
        <v>2012</v>
      </c>
      <c r="B118" s="66" t="s">
        <v>169</v>
      </c>
      <c r="C118" s="66" t="s">
        <v>170</v>
      </c>
      <c r="D118" s="67">
        <v>1015042</v>
      </c>
      <c r="E118" s="67">
        <v>2</v>
      </c>
      <c r="F118" s="67"/>
      <c r="G118" s="67">
        <v>48</v>
      </c>
      <c r="H118" s="67">
        <v>22</v>
      </c>
      <c r="I118" s="67" t="s">
        <v>193</v>
      </c>
      <c r="J118" s="67" t="s">
        <v>77</v>
      </c>
      <c r="K118" s="67" t="b">
        <v>0</v>
      </c>
      <c r="L118" s="63">
        <v>2014</v>
      </c>
      <c r="M118" s="64">
        <v>6.9500000000000006E-2</v>
      </c>
      <c r="N118" s="68">
        <v>41087</v>
      </c>
      <c r="O118" s="68">
        <v>41087</v>
      </c>
    </row>
    <row r="119" spans="1:15">
      <c r="A119" s="65">
        <v>2012</v>
      </c>
      <c r="B119" s="66" t="s">
        <v>169</v>
      </c>
      <c r="C119" s="66" t="s">
        <v>170</v>
      </c>
      <c r="D119" s="67">
        <v>1015042</v>
      </c>
      <c r="E119" s="67">
        <v>2</v>
      </c>
      <c r="F119" s="67"/>
      <c r="G119" s="67">
        <v>24</v>
      </c>
      <c r="H119" s="67" t="s">
        <v>128</v>
      </c>
      <c r="I119" s="67"/>
      <c r="J119" s="67" t="s">
        <v>129</v>
      </c>
      <c r="K119" s="67" t="b">
        <v>1</v>
      </c>
      <c r="L119" s="63">
        <v>2013</v>
      </c>
      <c r="M119" s="64">
        <v>93850</v>
      </c>
      <c r="N119" s="68">
        <v>41087</v>
      </c>
      <c r="O119" s="68">
        <v>41087</v>
      </c>
    </row>
    <row r="120" spans="1:15">
      <c r="A120" s="65">
        <v>2012</v>
      </c>
      <c r="B120" s="66" t="s">
        <v>169</v>
      </c>
      <c r="C120" s="66" t="s">
        <v>170</v>
      </c>
      <c r="D120" s="67">
        <v>1015042</v>
      </c>
      <c r="E120" s="67">
        <v>2</v>
      </c>
      <c r="F120" s="67"/>
      <c r="G120" s="67">
        <v>26</v>
      </c>
      <c r="H120" s="67">
        <v>9</v>
      </c>
      <c r="I120" s="67" t="s">
        <v>175</v>
      </c>
      <c r="J120" s="67" t="s">
        <v>131</v>
      </c>
      <c r="K120" s="67" t="b">
        <v>0</v>
      </c>
      <c r="L120" s="63">
        <v>2017</v>
      </c>
      <c r="M120" s="64">
        <v>772475</v>
      </c>
      <c r="N120" s="68">
        <v>41087</v>
      </c>
      <c r="O120" s="68">
        <v>41087</v>
      </c>
    </row>
    <row r="121" spans="1:15">
      <c r="A121" s="65">
        <v>2012</v>
      </c>
      <c r="B121" s="66" t="s">
        <v>169</v>
      </c>
      <c r="C121" s="66" t="s">
        <v>170</v>
      </c>
      <c r="D121" s="67">
        <v>1015042</v>
      </c>
      <c r="E121" s="67">
        <v>2</v>
      </c>
      <c r="F121" s="67"/>
      <c r="G121" s="67">
        <v>50</v>
      </c>
      <c r="H121" s="67">
        <v>23</v>
      </c>
      <c r="I121" s="67" t="s">
        <v>172</v>
      </c>
      <c r="J121" s="67" t="s">
        <v>149</v>
      </c>
      <c r="K121" s="67" t="b">
        <v>1</v>
      </c>
      <c r="L121" s="63">
        <v>2013</v>
      </c>
      <c r="M121" s="64">
        <v>7999664</v>
      </c>
      <c r="N121" s="68">
        <v>41087</v>
      </c>
      <c r="O121" s="68">
        <v>41087</v>
      </c>
    </row>
    <row r="122" spans="1:15">
      <c r="A122" s="65">
        <v>2012</v>
      </c>
      <c r="B122" s="66" t="s">
        <v>169</v>
      </c>
      <c r="C122" s="66" t="s">
        <v>170</v>
      </c>
      <c r="D122" s="67">
        <v>1015042</v>
      </c>
      <c r="E122" s="67">
        <v>2</v>
      </c>
      <c r="F122" s="67"/>
      <c r="G122" s="67">
        <v>1</v>
      </c>
      <c r="H122" s="67">
        <v>1</v>
      </c>
      <c r="I122" s="67" t="s">
        <v>183</v>
      </c>
      <c r="J122" s="67" t="s">
        <v>93</v>
      </c>
      <c r="K122" s="67" t="b">
        <v>1</v>
      </c>
      <c r="L122" s="63">
        <v>2013</v>
      </c>
      <c r="M122" s="64">
        <v>8917515</v>
      </c>
      <c r="N122" s="68">
        <v>41087</v>
      </c>
      <c r="O122" s="68">
        <v>41087</v>
      </c>
    </row>
    <row r="123" spans="1:15">
      <c r="A123" s="65">
        <v>2012</v>
      </c>
      <c r="B123" s="66" t="s">
        <v>169</v>
      </c>
      <c r="C123" s="66" t="s">
        <v>170</v>
      </c>
      <c r="D123" s="67">
        <v>1015042</v>
      </c>
      <c r="E123" s="67">
        <v>2</v>
      </c>
      <c r="F123" s="67"/>
      <c r="G123" s="67">
        <v>52</v>
      </c>
      <c r="H123" s="67">
        <v>25</v>
      </c>
      <c r="I123" s="67" t="s">
        <v>185</v>
      </c>
      <c r="J123" s="67" t="s">
        <v>49</v>
      </c>
      <c r="K123" s="67" t="b">
        <v>1</v>
      </c>
      <c r="L123" s="63">
        <v>2018</v>
      </c>
      <c r="M123" s="64">
        <v>1169586</v>
      </c>
      <c r="N123" s="68">
        <v>41087</v>
      </c>
      <c r="O123" s="68">
        <v>41087</v>
      </c>
    </row>
    <row r="124" spans="1:15">
      <c r="A124" s="65">
        <v>2012</v>
      </c>
      <c r="B124" s="66" t="s">
        <v>169</v>
      </c>
      <c r="C124" s="66" t="s">
        <v>170</v>
      </c>
      <c r="D124" s="67">
        <v>1015042</v>
      </c>
      <c r="E124" s="67">
        <v>2</v>
      </c>
      <c r="F124" s="67"/>
      <c r="G124" s="67">
        <v>37</v>
      </c>
      <c r="H124" s="67">
        <v>16</v>
      </c>
      <c r="I124" s="67"/>
      <c r="J124" s="67" t="s">
        <v>140</v>
      </c>
      <c r="K124" s="67" t="b">
        <v>1</v>
      </c>
      <c r="L124" s="63">
        <v>2018</v>
      </c>
      <c r="M124" s="64">
        <v>148818</v>
      </c>
      <c r="N124" s="68">
        <v>41087</v>
      </c>
      <c r="O124" s="68">
        <v>41087</v>
      </c>
    </row>
    <row r="125" spans="1:15">
      <c r="A125" s="65">
        <v>2012</v>
      </c>
      <c r="B125" s="66" t="s">
        <v>169</v>
      </c>
      <c r="C125" s="66" t="s">
        <v>170</v>
      </c>
      <c r="D125" s="67">
        <v>1015042</v>
      </c>
      <c r="E125" s="67">
        <v>2</v>
      </c>
      <c r="F125" s="67"/>
      <c r="G125" s="67">
        <v>41</v>
      </c>
      <c r="H125" s="67" t="s">
        <v>143</v>
      </c>
      <c r="I125" s="67" t="s">
        <v>191</v>
      </c>
      <c r="J125" s="67" t="s">
        <v>71</v>
      </c>
      <c r="K125" s="67" t="b">
        <v>0</v>
      </c>
      <c r="L125" s="63">
        <v>2015</v>
      </c>
      <c r="M125" s="64">
        <v>0.1101</v>
      </c>
      <c r="N125" s="68">
        <v>41087</v>
      </c>
      <c r="O125" s="68">
        <v>41087</v>
      </c>
    </row>
    <row r="126" spans="1:15">
      <c r="A126" s="65">
        <v>2012</v>
      </c>
      <c r="B126" s="66" t="s">
        <v>169</v>
      </c>
      <c r="C126" s="66" t="s">
        <v>170</v>
      </c>
      <c r="D126" s="67">
        <v>1015042</v>
      </c>
      <c r="E126" s="67">
        <v>2</v>
      </c>
      <c r="F126" s="67"/>
      <c r="G126" s="67">
        <v>2</v>
      </c>
      <c r="H126" s="67" t="s">
        <v>94</v>
      </c>
      <c r="I126" s="67"/>
      <c r="J126" s="67" t="s">
        <v>95</v>
      </c>
      <c r="K126" s="67" t="b">
        <v>1</v>
      </c>
      <c r="L126" s="63">
        <v>2014</v>
      </c>
      <c r="M126" s="64">
        <v>8252557</v>
      </c>
      <c r="N126" s="68">
        <v>41087</v>
      </c>
      <c r="O126" s="68">
        <v>41087</v>
      </c>
    </row>
    <row r="127" spans="1:15">
      <c r="A127" s="65">
        <v>2012</v>
      </c>
      <c r="B127" s="66" t="s">
        <v>169</v>
      </c>
      <c r="C127" s="66" t="s">
        <v>170</v>
      </c>
      <c r="D127" s="67">
        <v>1015042</v>
      </c>
      <c r="E127" s="67">
        <v>2</v>
      </c>
      <c r="F127" s="67"/>
      <c r="G127" s="67">
        <v>19</v>
      </c>
      <c r="H127" s="67">
        <v>6</v>
      </c>
      <c r="I127" s="67" t="s">
        <v>189</v>
      </c>
      <c r="J127" s="67" t="s">
        <v>121</v>
      </c>
      <c r="K127" s="67" t="b">
        <v>0</v>
      </c>
      <c r="L127" s="63">
        <v>2014</v>
      </c>
      <c r="M127" s="64">
        <v>1300786</v>
      </c>
      <c r="N127" s="68">
        <v>41087</v>
      </c>
      <c r="O127" s="68">
        <v>41087</v>
      </c>
    </row>
    <row r="128" spans="1:15">
      <c r="A128" s="65">
        <v>2012</v>
      </c>
      <c r="B128" s="66" t="s">
        <v>169</v>
      </c>
      <c r="C128" s="66" t="s">
        <v>170</v>
      </c>
      <c r="D128" s="67">
        <v>1015042</v>
      </c>
      <c r="E128" s="67">
        <v>2</v>
      </c>
      <c r="F128" s="67"/>
      <c r="G128" s="67">
        <v>37</v>
      </c>
      <c r="H128" s="67">
        <v>16</v>
      </c>
      <c r="I128" s="67"/>
      <c r="J128" s="67" t="s">
        <v>140</v>
      </c>
      <c r="K128" s="67" t="b">
        <v>1</v>
      </c>
      <c r="L128" s="63">
        <v>2015</v>
      </c>
      <c r="M128" s="64">
        <v>396751</v>
      </c>
      <c r="N128" s="68">
        <v>41087</v>
      </c>
      <c r="O128" s="68">
        <v>41087</v>
      </c>
    </row>
    <row r="129" spans="1:15">
      <c r="A129" s="65">
        <v>2012</v>
      </c>
      <c r="B129" s="66" t="s">
        <v>169</v>
      </c>
      <c r="C129" s="66" t="s">
        <v>170</v>
      </c>
      <c r="D129" s="67">
        <v>1015042</v>
      </c>
      <c r="E129" s="67">
        <v>2</v>
      </c>
      <c r="F129" s="67"/>
      <c r="G129" s="67">
        <v>55</v>
      </c>
      <c r="H129" s="67">
        <v>28</v>
      </c>
      <c r="I129" s="67" t="s">
        <v>176</v>
      </c>
      <c r="J129" s="67" t="s">
        <v>48</v>
      </c>
      <c r="K129" s="67" t="b">
        <v>0</v>
      </c>
      <c r="L129" s="63">
        <v>2012</v>
      </c>
      <c r="M129" s="64">
        <v>345594</v>
      </c>
      <c r="N129" s="68">
        <v>41087</v>
      </c>
      <c r="O129" s="68">
        <v>41087</v>
      </c>
    </row>
    <row r="130" spans="1:15">
      <c r="A130" s="65">
        <v>2012</v>
      </c>
      <c r="B130" s="66" t="s">
        <v>169</v>
      </c>
      <c r="C130" s="66" t="s">
        <v>170</v>
      </c>
      <c r="D130" s="67">
        <v>1015042</v>
      </c>
      <c r="E130" s="67">
        <v>2</v>
      </c>
      <c r="F130" s="67"/>
      <c r="G130" s="67">
        <v>21</v>
      </c>
      <c r="H130" s="67" t="s">
        <v>122</v>
      </c>
      <c r="I130" s="67"/>
      <c r="J130" s="67" t="s">
        <v>123</v>
      </c>
      <c r="K130" s="67" t="b">
        <v>1</v>
      </c>
      <c r="L130" s="63">
        <v>2017</v>
      </c>
      <c r="M130" s="64">
        <v>379678</v>
      </c>
      <c r="N130" s="68">
        <v>41087</v>
      </c>
      <c r="O130" s="68">
        <v>41087</v>
      </c>
    </row>
    <row r="131" spans="1:15">
      <c r="A131" s="65">
        <v>2012</v>
      </c>
      <c r="B131" s="66" t="s">
        <v>169</v>
      </c>
      <c r="C131" s="66" t="s">
        <v>170</v>
      </c>
      <c r="D131" s="67">
        <v>1015042</v>
      </c>
      <c r="E131" s="67">
        <v>2</v>
      </c>
      <c r="F131" s="67"/>
      <c r="G131" s="67">
        <v>7</v>
      </c>
      <c r="H131" s="67">
        <v>2</v>
      </c>
      <c r="I131" s="67"/>
      <c r="J131" s="67" t="s">
        <v>3</v>
      </c>
      <c r="K131" s="67" t="b">
        <v>1</v>
      </c>
      <c r="L131" s="63">
        <v>2016</v>
      </c>
      <c r="M131" s="64">
        <v>7422037</v>
      </c>
      <c r="N131" s="68">
        <v>41087</v>
      </c>
      <c r="O131" s="68">
        <v>41087</v>
      </c>
    </row>
    <row r="132" spans="1:15">
      <c r="A132" s="65">
        <v>2012</v>
      </c>
      <c r="B132" s="66" t="s">
        <v>169</v>
      </c>
      <c r="C132" s="66" t="s">
        <v>170</v>
      </c>
      <c r="D132" s="67">
        <v>1015042</v>
      </c>
      <c r="E132" s="67">
        <v>2</v>
      </c>
      <c r="F132" s="67"/>
      <c r="G132" s="67">
        <v>1</v>
      </c>
      <c r="H132" s="67">
        <v>1</v>
      </c>
      <c r="I132" s="67" t="s">
        <v>183</v>
      </c>
      <c r="J132" s="67" t="s">
        <v>93</v>
      </c>
      <c r="K132" s="67" t="b">
        <v>1</v>
      </c>
      <c r="L132" s="63">
        <v>2016</v>
      </c>
      <c r="M132" s="64">
        <v>8611532</v>
      </c>
      <c r="N132" s="68">
        <v>41087</v>
      </c>
      <c r="O132" s="68">
        <v>41087</v>
      </c>
    </row>
    <row r="133" spans="1:15">
      <c r="A133" s="65">
        <v>2012</v>
      </c>
      <c r="B133" s="66" t="s">
        <v>169</v>
      </c>
      <c r="C133" s="66" t="s">
        <v>170</v>
      </c>
      <c r="D133" s="67">
        <v>1015042</v>
      </c>
      <c r="E133" s="67">
        <v>2</v>
      </c>
      <c r="F133" s="67"/>
      <c r="G133" s="67">
        <v>49</v>
      </c>
      <c r="H133" s="67" t="s">
        <v>148</v>
      </c>
      <c r="I133" s="67" t="s">
        <v>188</v>
      </c>
      <c r="J133" s="67" t="s">
        <v>79</v>
      </c>
      <c r="K133" s="67" t="b">
        <v>0</v>
      </c>
      <c r="L133" s="63">
        <v>2013</v>
      </c>
      <c r="M133" s="64">
        <v>294</v>
      </c>
      <c r="N133" s="68">
        <v>41087</v>
      </c>
      <c r="O133" s="68">
        <v>41087</v>
      </c>
    </row>
    <row r="134" spans="1:15">
      <c r="A134" s="65">
        <v>2012</v>
      </c>
      <c r="B134" s="66" t="s">
        <v>169</v>
      </c>
      <c r="C134" s="66" t="s">
        <v>170</v>
      </c>
      <c r="D134" s="67">
        <v>1015042</v>
      </c>
      <c r="E134" s="67">
        <v>2</v>
      </c>
      <c r="F134" s="67"/>
      <c r="G134" s="67">
        <v>20</v>
      </c>
      <c r="H134" s="67">
        <v>7</v>
      </c>
      <c r="I134" s="67" t="s">
        <v>179</v>
      </c>
      <c r="J134" s="67" t="s">
        <v>12</v>
      </c>
      <c r="K134" s="67" t="b">
        <v>1</v>
      </c>
      <c r="L134" s="63">
        <v>2017</v>
      </c>
      <c r="M134" s="64">
        <v>409647</v>
      </c>
      <c r="N134" s="68">
        <v>41087</v>
      </c>
      <c r="O134" s="68">
        <v>41087</v>
      </c>
    </row>
    <row r="135" spans="1:15">
      <c r="A135" s="65">
        <v>2012</v>
      </c>
      <c r="B135" s="66" t="s">
        <v>169</v>
      </c>
      <c r="C135" s="66" t="s">
        <v>170</v>
      </c>
      <c r="D135" s="67">
        <v>1015042</v>
      </c>
      <c r="E135" s="67">
        <v>2</v>
      </c>
      <c r="F135" s="67"/>
      <c r="G135" s="67">
        <v>57</v>
      </c>
      <c r="H135" s="67">
        <v>30</v>
      </c>
      <c r="I135" s="67" t="s">
        <v>173</v>
      </c>
      <c r="J135" s="67" t="s">
        <v>153</v>
      </c>
      <c r="K135" s="67" t="b">
        <v>0</v>
      </c>
      <c r="L135" s="63">
        <v>2016</v>
      </c>
      <c r="M135" s="64">
        <v>396751</v>
      </c>
      <c r="N135" s="68">
        <v>41087</v>
      </c>
      <c r="O135" s="68">
        <v>41087</v>
      </c>
    </row>
    <row r="136" spans="1:15">
      <c r="A136" s="65">
        <v>2012</v>
      </c>
      <c r="B136" s="66" t="s">
        <v>169</v>
      </c>
      <c r="C136" s="66" t="s">
        <v>170</v>
      </c>
      <c r="D136" s="67">
        <v>1015042</v>
      </c>
      <c r="E136" s="67">
        <v>2</v>
      </c>
      <c r="F136" s="67"/>
      <c r="G136" s="67">
        <v>51</v>
      </c>
      <c r="H136" s="67">
        <v>24</v>
      </c>
      <c r="I136" s="67" t="s">
        <v>184</v>
      </c>
      <c r="J136" s="67" t="s">
        <v>150</v>
      </c>
      <c r="K136" s="67" t="b">
        <v>1</v>
      </c>
      <c r="L136" s="63">
        <v>2018</v>
      </c>
      <c r="M136" s="64">
        <v>7877905</v>
      </c>
      <c r="N136" s="68">
        <v>41087</v>
      </c>
      <c r="O136" s="68">
        <v>41087</v>
      </c>
    </row>
    <row r="137" spans="1:15">
      <c r="A137" s="65">
        <v>2012</v>
      </c>
      <c r="B137" s="66" t="s">
        <v>169</v>
      </c>
      <c r="C137" s="66" t="s">
        <v>170</v>
      </c>
      <c r="D137" s="67">
        <v>1015042</v>
      </c>
      <c r="E137" s="67">
        <v>2</v>
      </c>
      <c r="F137" s="67"/>
      <c r="G137" s="67">
        <v>21</v>
      </c>
      <c r="H137" s="67" t="s">
        <v>122</v>
      </c>
      <c r="I137" s="67"/>
      <c r="J137" s="67" t="s">
        <v>123</v>
      </c>
      <c r="K137" s="67" t="b">
        <v>1</v>
      </c>
      <c r="L137" s="63">
        <v>2013</v>
      </c>
      <c r="M137" s="64">
        <v>378687.36</v>
      </c>
      <c r="N137" s="68">
        <v>41087</v>
      </c>
      <c r="O137" s="68">
        <v>41087</v>
      </c>
    </row>
    <row r="138" spans="1:15">
      <c r="A138" s="65">
        <v>2012</v>
      </c>
      <c r="B138" s="66" t="s">
        <v>169</v>
      </c>
      <c r="C138" s="66" t="s">
        <v>170</v>
      </c>
      <c r="D138" s="67">
        <v>1015042</v>
      </c>
      <c r="E138" s="67">
        <v>2</v>
      </c>
      <c r="F138" s="67"/>
      <c r="G138" s="67">
        <v>43</v>
      </c>
      <c r="H138" s="67" t="s">
        <v>144</v>
      </c>
      <c r="I138" s="67" t="s">
        <v>171</v>
      </c>
      <c r="J138" s="67" t="s">
        <v>74</v>
      </c>
      <c r="K138" s="67" t="b">
        <v>0</v>
      </c>
      <c r="L138" s="63">
        <v>2015</v>
      </c>
      <c r="M138" s="64">
        <v>5.62E-2</v>
      </c>
      <c r="N138" s="68">
        <v>41087</v>
      </c>
      <c r="O138" s="68">
        <v>41087</v>
      </c>
    </row>
    <row r="139" spans="1:15">
      <c r="A139" s="65">
        <v>2012</v>
      </c>
      <c r="B139" s="66" t="s">
        <v>169</v>
      </c>
      <c r="C139" s="66" t="s">
        <v>170</v>
      </c>
      <c r="D139" s="67">
        <v>1015042</v>
      </c>
      <c r="E139" s="67">
        <v>2</v>
      </c>
      <c r="F139" s="67"/>
      <c r="G139" s="67">
        <v>7</v>
      </c>
      <c r="H139" s="67">
        <v>2</v>
      </c>
      <c r="I139" s="67"/>
      <c r="J139" s="67" t="s">
        <v>3</v>
      </c>
      <c r="K139" s="67" t="b">
        <v>1</v>
      </c>
      <c r="L139" s="63">
        <v>2017</v>
      </c>
      <c r="M139" s="64">
        <v>7644698</v>
      </c>
      <c r="N139" s="68">
        <v>41087</v>
      </c>
      <c r="O139" s="68">
        <v>41087</v>
      </c>
    </row>
    <row r="140" spans="1:15">
      <c r="A140" s="65">
        <v>2012</v>
      </c>
      <c r="B140" s="66" t="s">
        <v>169</v>
      </c>
      <c r="C140" s="66" t="s">
        <v>170</v>
      </c>
      <c r="D140" s="67">
        <v>1015042</v>
      </c>
      <c r="E140" s="67">
        <v>2</v>
      </c>
      <c r="F140" s="67"/>
      <c r="G140" s="67">
        <v>49</v>
      </c>
      <c r="H140" s="67" t="s">
        <v>148</v>
      </c>
      <c r="I140" s="67" t="s">
        <v>188</v>
      </c>
      <c r="J140" s="67" t="s">
        <v>79</v>
      </c>
      <c r="K140" s="67" t="b">
        <v>0</v>
      </c>
      <c r="L140" s="63">
        <v>2018</v>
      </c>
      <c r="M140" s="64">
        <v>1150</v>
      </c>
      <c r="N140" s="68">
        <v>41087</v>
      </c>
      <c r="O140" s="68">
        <v>41087</v>
      </c>
    </row>
    <row r="141" spans="1:15">
      <c r="A141" s="65">
        <v>2012</v>
      </c>
      <c r="B141" s="66" t="s">
        <v>169</v>
      </c>
      <c r="C141" s="66" t="s">
        <v>170</v>
      </c>
      <c r="D141" s="67">
        <v>1015042</v>
      </c>
      <c r="E141" s="67">
        <v>2</v>
      </c>
      <c r="F141" s="67"/>
      <c r="G141" s="67">
        <v>41</v>
      </c>
      <c r="H141" s="67" t="s">
        <v>143</v>
      </c>
      <c r="I141" s="67" t="s">
        <v>191</v>
      </c>
      <c r="J141" s="67" t="s">
        <v>71</v>
      </c>
      <c r="K141" s="67" t="b">
        <v>0</v>
      </c>
      <c r="L141" s="63">
        <v>2016</v>
      </c>
      <c r="M141" s="64">
        <v>6.1400000000000003E-2</v>
      </c>
      <c r="N141" s="68">
        <v>41087</v>
      </c>
      <c r="O141" s="68">
        <v>41087</v>
      </c>
    </row>
    <row r="142" spans="1:15">
      <c r="A142" s="65">
        <v>2012</v>
      </c>
      <c r="B142" s="66" t="s">
        <v>169</v>
      </c>
      <c r="C142" s="66" t="s">
        <v>170</v>
      </c>
      <c r="D142" s="67">
        <v>1015042</v>
      </c>
      <c r="E142" s="67">
        <v>2</v>
      </c>
      <c r="F142" s="67"/>
      <c r="G142" s="67">
        <v>1</v>
      </c>
      <c r="H142" s="67">
        <v>1</v>
      </c>
      <c r="I142" s="67" t="s">
        <v>183</v>
      </c>
      <c r="J142" s="67" t="s">
        <v>93</v>
      </c>
      <c r="K142" s="67" t="b">
        <v>1</v>
      </c>
      <c r="L142" s="63">
        <v>2012</v>
      </c>
      <c r="M142" s="64">
        <v>9767279.0500000007</v>
      </c>
      <c r="N142" s="68">
        <v>41087</v>
      </c>
      <c r="O142" s="68">
        <v>41087</v>
      </c>
    </row>
    <row r="143" spans="1:15">
      <c r="A143" s="65">
        <v>2012</v>
      </c>
      <c r="B143" s="66" t="s">
        <v>169</v>
      </c>
      <c r="C143" s="66" t="s">
        <v>170</v>
      </c>
      <c r="D143" s="67">
        <v>1015042</v>
      </c>
      <c r="E143" s="67">
        <v>2</v>
      </c>
      <c r="F143" s="67"/>
      <c r="G143" s="67">
        <v>8</v>
      </c>
      <c r="H143" s="67" t="s">
        <v>104</v>
      </c>
      <c r="I143" s="67"/>
      <c r="J143" s="67" t="s">
        <v>105</v>
      </c>
      <c r="K143" s="67" t="b">
        <v>0</v>
      </c>
      <c r="L143" s="63">
        <v>2016</v>
      </c>
      <c r="M143" s="64">
        <v>3475228</v>
      </c>
      <c r="N143" s="68">
        <v>41087</v>
      </c>
      <c r="O143" s="68">
        <v>41087</v>
      </c>
    </row>
    <row r="144" spans="1:15">
      <c r="A144" s="65">
        <v>2012</v>
      </c>
      <c r="B144" s="66" t="s">
        <v>169</v>
      </c>
      <c r="C144" s="66" t="s">
        <v>170</v>
      </c>
      <c r="D144" s="67">
        <v>1015042</v>
      </c>
      <c r="E144" s="67">
        <v>2</v>
      </c>
      <c r="F144" s="67"/>
      <c r="G144" s="67">
        <v>54</v>
      </c>
      <c r="H144" s="67">
        <v>27</v>
      </c>
      <c r="I144" s="67" t="s">
        <v>177</v>
      </c>
      <c r="J144" s="67" t="s">
        <v>46</v>
      </c>
      <c r="K144" s="67" t="b">
        <v>0</v>
      </c>
      <c r="L144" s="63">
        <v>2014</v>
      </c>
      <c r="M144" s="64">
        <v>7779670</v>
      </c>
      <c r="N144" s="68">
        <v>41087</v>
      </c>
      <c r="O144" s="68">
        <v>41087</v>
      </c>
    </row>
    <row r="145" spans="1:15">
      <c r="A145" s="65">
        <v>2012</v>
      </c>
      <c r="B145" s="66" t="s">
        <v>169</v>
      </c>
      <c r="C145" s="66" t="s">
        <v>170</v>
      </c>
      <c r="D145" s="67">
        <v>1015042</v>
      </c>
      <c r="E145" s="67">
        <v>2</v>
      </c>
      <c r="F145" s="67"/>
      <c r="G145" s="67">
        <v>42</v>
      </c>
      <c r="H145" s="67">
        <v>19</v>
      </c>
      <c r="I145" s="67" t="s">
        <v>182</v>
      </c>
      <c r="J145" s="67" t="s">
        <v>72</v>
      </c>
      <c r="K145" s="67" t="b">
        <v>1</v>
      </c>
      <c r="L145" s="63">
        <v>2018</v>
      </c>
      <c r="M145" s="64">
        <v>1.6899999999999998E-2</v>
      </c>
      <c r="N145" s="68">
        <v>41087</v>
      </c>
      <c r="O145" s="68">
        <v>41087</v>
      </c>
    </row>
    <row r="146" spans="1:15">
      <c r="A146" s="65">
        <v>2012</v>
      </c>
      <c r="B146" s="66" t="s">
        <v>169</v>
      </c>
      <c r="C146" s="66" t="s">
        <v>170</v>
      </c>
      <c r="D146" s="67">
        <v>1015042</v>
      </c>
      <c r="E146" s="67">
        <v>2</v>
      </c>
      <c r="F146" s="67"/>
      <c r="G146" s="67">
        <v>27</v>
      </c>
      <c r="H146" s="67">
        <v>10</v>
      </c>
      <c r="I146" s="67"/>
      <c r="J146" s="67" t="s">
        <v>18</v>
      </c>
      <c r="K146" s="67" t="b">
        <v>0</v>
      </c>
      <c r="L146" s="63">
        <v>2012</v>
      </c>
      <c r="M146" s="64">
        <v>2263831.5</v>
      </c>
      <c r="N146" s="68">
        <v>41087</v>
      </c>
      <c r="O146" s="68">
        <v>41087</v>
      </c>
    </row>
    <row r="147" spans="1:15">
      <c r="A147" s="65">
        <v>2012</v>
      </c>
      <c r="B147" s="66" t="s">
        <v>169</v>
      </c>
      <c r="C147" s="66" t="s">
        <v>170</v>
      </c>
      <c r="D147" s="67">
        <v>1015042</v>
      </c>
      <c r="E147" s="67">
        <v>2</v>
      </c>
      <c r="F147" s="67"/>
      <c r="G147" s="67">
        <v>24</v>
      </c>
      <c r="H147" s="67" t="s">
        <v>128</v>
      </c>
      <c r="I147" s="67"/>
      <c r="J147" s="67" t="s">
        <v>129</v>
      </c>
      <c r="K147" s="67" t="b">
        <v>1</v>
      </c>
      <c r="L147" s="63">
        <v>2014</v>
      </c>
      <c r="M147" s="64">
        <v>100575</v>
      </c>
      <c r="N147" s="68">
        <v>41087</v>
      </c>
      <c r="O147" s="68">
        <v>41087</v>
      </c>
    </row>
    <row r="148" spans="1:15">
      <c r="A148" s="65">
        <v>2012</v>
      </c>
      <c r="B148" s="66" t="s">
        <v>169</v>
      </c>
      <c r="C148" s="66" t="s">
        <v>170</v>
      </c>
      <c r="D148" s="67">
        <v>1015042</v>
      </c>
      <c r="E148" s="67">
        <v>2</v>
      </c>
      <c r="F148" s="67"/>
      <c r="G148" s="67">
        <v>7</v>
      </c>
      <c r="H148" s="67">
        <v>2</v>
      </c>
      <c r="I148" s="67"/>
      <c r="J148" s="67" t="s">
        <v>3</v>
      </c>
      <c r="K148" s="67" t="b">
        <v>1</v>
      </c>
      <c r="L148" s="63">
        <v>2018</v>
      </c>
      <c r="M148" s="64">
        <v>7874040</v>
      </c>
      <c r="N148" s="68">
        <v>41087</v>
      </c>
      <c r="O148" s="68">
        <v>41087</v>
      </c>
    </row>
    <row r="149" spans="1:15">
      <c r="A149" s="65">
        <v>2012</v>
      </c>
      <c r="B149" s="66" t="s">
        <v>169</v>
      </c>
      <c r="C149" s="66" t="s">
        <v>170</v>
      </c>
      <c r="D149" s="67">
        <v>1015042</v>
      </c>
      <c r="E149" s="67">
        <v>2</v>
      </c>
      <c r="F149" s="67"/>
      <c r="G149" s="67">
        <v>19</v>
      </c>
      <c r="H149" s="67">
        <v>6</v>
      </c>
      <c r="I149" s="67" t="s">
        <v>189</v>
      </c>
      <c r="J149" s="67" t="s">
        <v>121</v>
      </c>
      <c r="K149" s="67" t="b">
        <v>0</v>
      </c>
      <c r="L149" s="63">
        <v>2015</v>
      </c>
      <c r="M149" s="64">
        <v>1195634</v>
      </c>
      <c r="N149" s="68">
        <v>41087</v>
      </c>
      <c r="O149" s="68">
        <v>41087</v>
      </c>
    </row>
    <row r="150" spans="1:15">
      <c r="A150" s="65">
        <v>2012</v>
      </c>
      <c r="B150" s="66" t="s">
        <v>169</v>
      </c>
      <c r="C150" s="66" t="s">
        <v>170</v>
      </c>
      <c r="D150" s="67">
        <v>1015042</v>
      </c>
      <c r="E150" s="67">
        <v>2</v>
      </c>
      <c r="F150" s="67"/>
      <c r="G150" s="67">
        <v>40</v>
      </c>
      <c r="H150" s="67">
        <v>18</v>
      </c>
      <c r="I150" s="67" t="s">
        <v>178</v>
      </c>
      <c r="J150" s="67" t="s">
        <v>69</v>
      </c>
      <c r="K150" s="67" t="b">
        <v>0</v>
      </c>
      <c r="L150" s="63">
        <v>2013</v>
      </c>
      <c r="M150" s="64">
        <v>0.20130000000000001</v>
      </c>
      <c r="N150" s="68">
        <v>41087</v>
      </c>
      <c r="O150" s="68">
        <v>41087</v>
      </c>
    </row>
    <row r="151" spans="1:15">
      <c r="A151" s="65">
        <v>2012</v>
      </c>
      <c r="B151" s="66" t="s">
        <v>169</v>
      </c>
      <c r="C151" s="66" t="s">
        <v>170</v>
      </c>
      <c r="D151" s="67">
        <v>1015042</v>
      </c>
      <c r="E151" s="67">
        <v>2</v>
      </c>
      <c r="F151" s="67"/>
      <c r="G151" s="67">
        <v>31</v>
      </c>
      <c r="H151" s="67" t="s">
        <v>135</v>
      </c>
      <c r="I151" s="67"/>
      <c r="J151" s="67" t="s">
        <v>118</v>
      </c>
      <c r="K151" s="67" t="b">
        <v>1</v>
      </c>
      <c r="L151" s="63">
        <v>2013</v>
      </c>
      <c r="M151" s="64">
        <v>81312.639999999999</v>
      </c>
      <c r="N151" s="68">
        <v>41087</v>
      </c>
      <c r="O151" s="68">
        <v>41087</v>
      </c>
    </row>
    <row r="152" spans="1:15">
      <c r="A152" s="65">
        <v>2012</v>
      </c>
      <c r="B152" s="66" t="s">
        <v>169</v>
      </c>
      <c r="C152" s="66" t="s">
        <v>170</v>
      </c>
      <c r="D152" s="67">
        <v>1015042</v>
      </c>
      <c r="E152" s="67">
        <v>2</v>
      </c>
      <c r="F152" s="67"/>
      <c r="G152" s="67">
        <v>14</v>
      </c>
      <c r="H152" s="67">
        <v>3</v>
      </c>
      <c r="I152" s="67" t="s">
        <v>187</v>
      </c>
      <c r="J152" s="67" t="s">
        <v>116</v>
      </c>
      <c r="K152" s="67" t="b">
        <v>1</v>
      </c>
      <c r="L152" s="63">
        <v>2016</v>
      </c>
      <c r="M152" s="64">
        <v>1189495</v>
      </c>
      <c r="N152" s="68">
        <v>41087</v>
      </c>
      <c r="O152" s="68">
        <v>41087</v>
      </c>
    </row>
    <row r="153" spans="1:15">
      <c r="A153" s="65">
        <v>2012</v>
      </c>
      <c r="B153" s="66" t="s">
        <v>169</v>
      </c>
      <c r="C153" s="66" t="s">
        <v>170</v>
      </c>
      <c r="D153" s="67">
        <v>1015042</v>
      </c>
      <c r="E153" s="67">
        <v>2</v>
      </c>
      <c r="F153" s="67"/>
      <c r="G153" s="67">
        <v>9</v>
      </c>
      <c r="H153" s="67" t="s">
        <v>106</v>
      </c>
      <c r="I153" s="67"/>
      <c r="J153" s="67" t="s">
        <v>107</v>
      </c>
      <c r="K153" s="67" t="b">
        <v>0</v>
      </c>
      <c r="L153" s="63">
        <v>2016</v>
      </c>
      <c r="M153" s="64">
        <v>1158683</v>
      </c>
      <c r="N153" s="68">
        <v>41087</v>
      </c>
      <c r="O153" s="68">
        <v>41087</v>
      </c>
    </row>
    <row r="154" spans="1:15">
      <c r="A154" s="65">
        <v>2012</v>
      </c>
      <c r="B154" s="66" t="s">
        <v>169</v>
      </c>
      <c r="C154" s="66" t="s">
        <v>170</v>
      </c>
      <c r="D154" s="67">
        <v>1015042</v>
      </c>
      <c r="E154" s="67">
        <v>2</v>
      </c>
      <c r="F154" s="67"/>
      <c r="G154" s="67">
        <v>47</v>
      </c>
      <c r="H154" s="67" t="s">
        <v>147</v>
      </c>
      <c r="I154" s="67" t="s">
        <v>186</v>
      </c>
      <c r="J154" s="67" t="s">
        <v>76</v>
      </c>
      <c r="K154" s="67" t="b">
        <v>0</v>
      </c>
      <c r="L154" s="63">
        <v>2012</v>
      </c>
      <c r="M154" s="64">
        <v>549</v>
      </c>
      <c r="N154" s="68">
        <v>41087</v>
      </c>
      <c r="O154" s="68">
        <v>41087</v>
      </c>
    </row>
    <row r="155" spans="1:15">
      <c r="A155" s="65">
        <v>2012</v>
      </c>
      <c r="B155" s="66" t="s">
        <v>169</v>
      </c>
      <c r="C155" s="66" t="s">
        <v>170</v>
      </c>
      <c r="D155" s="67">
        <v>1015042</v>
      </c>
      <c r="E155" s="67">
        <v>2</v>
      </c>
      <c r="F155" s="67"/>
      <c r="G155" s="67">
        <v>28</v>
      </c>
      <c r="H155" s="67" t="s">
        <v>132</v>
      </c>
      <c r="I155" s="67"/>
      <c r="J155" s="67" t="s">
        <v>133</v>
      </c>
      <c r="K155" s="67" t="b">
        <v>0</v>
      </c>
      <c r="L155" s="63">
        <v>2012</v>
      </c>
      <c r="M155" s="64">
        <v>868684.67</v>
      </c>
      <c r="N155" s="68">
        <v>41087</v>
      </c>
      <c r="O155" s="68">
        <v>41087</v>
      </c>
    </row>
    <row r="156" spans="1:15">
      <c r="A156" s="65">
        <v>2012</v>
      </c>
      <c r="B156" s="66" t="s">
        <v>169</v>
      </c>
      <c r="C156" s="66" t="s">
        <v>170</v>
      </c>
      <c r="D156" s="67">
        <v>1015042</v>
      </c>
      <c r="E156" s="67">
        <v>2</v>
      </c>
      <c r="F156" s="67"/>
      <c r="G156" s="67">
        <v>9</v>
      </c>
      <c r="H156" s="67" t="s">
        <v>106</v>
      </c>
      <c r="I156" s="67"/>
      <c r="J156" s="67" t="s">
        <v>107</v>
      </c>
      <c r="K156" s="67" t="b">
        <v>0</v>
      </c>
      <c r="L156" s="63">
        <v>2018</v>
      </c>
      <c r="M156" s="64">
        <v>1212596</v>
      </c>
      <c r="N156" s="68">
        <v>41087</v>
      </c>
      <c r="O156" s="68">
        <v>41087</v>
      </c>
    </row>
    <row r="157" spans="1:15">
      <c r="A157" s="65">
        <v>2012</v>
      </c>
      <c r="B157" s="66" t="s">
        <v>169</v>
      </c>
      <c r="C157" s="66" t="s">
        <v>170</v>
      </c>
      <c r="D157" s="67">
        <v>1015042</v>
      </c>
      <c r="E157" s="67">
        <v>2</v>
      </c>
      <c r="F157" s="67"/>
      <c r="G157" s="67">
        <v>8</v>
      </c>
      <c r="H157" s="67" t="s">
        <v>104</v>
      </c>
      <c r="I157" s="67"/>
      <c r="J157" s="67" t="s">
        <v>105</v>
      </c>
      <c r="K157" s="67" t="b">
        <v>0</v>
      </c>
      <c r="L157" s="63">
        <v>2012</v>
      </c>
      <c r="M157" s="64">
        <v>3105278.6</v>
      </c>
      <c r="N157" s="68">
        <v>41087</v>
      </c>
      <c r="O157" s="68">
        <v>41087</v>
      </c>
    </row>
    <row r="158" spans="1:15">
      <c r="A158" s="65">
        <v>2012</v>
      </c>
      <c r="B158" s="66" t="s">
        <v>169</v>
      </c>
      <c r="C158" s="66" t="s">
        <v>170</v>
      </c>
      <c r="D158" s="67">
        <v>1015042</v>
      </c>
      <c r="E158" s="67">
        <v>2</v>
      </c>
      <c r="F158" s="67"/>
      <c r="G158" s="67">
        <v>47</v>
      </c>
      <c r="H158" s="67" t="s">
        <v>147</v>
      </c>
      <c r="I158" s="67" t="s">
        <v>186</v>
      </c>
      <c r="J158" s="67" t="s">
        <v>76</v>
      </c>
      <c r="K158" s="67" t="b">
        <v>0</v>
      </c>
      <c r="L158" s="63">
        <v>2015</v>
      </c>
      <c r="M158" s="64">
        <v>688</v>
      </c>
      <c r="N158" s="68">
        <v>41087</v>
      </c>
      <c r="O158" s="68">
        <v>41087</v>
      </c>
    </row>
    <row r="159" spans="1:15">
      <c r="A159" s="65">
        <v>2012</v>
      </c>
      <c r="B159" s="66" t="s">
        <v>169</v>
      </c>
      <c r="C159" s="66" t="s">
        <v>170</v>
      </c>
      <c r="D159" s="67">
        <v>1015042</v>
      </c>
      <c r="E159" s="67">
        <v>2</v>
      </c>
      <c r="F159" s="67"/>
      <c r="G159" s="67">
        <v>53</v>
      </c>
      <c r="H159" s="67">
        <v>26</v>
      </c>
      <c r="I159" s="67" t="s">
        <v>180</v>
      </c>
      <c r="J159" s="67" t="s">
        <v>151</v>
      </c>
      <c r="K159" s="67" t="b">
        <v>1</v>
      </c>
      <c r="L159" s="63">
        <v>2013</v>
      </c>
      <c r="M159" s="64">
        <v>8917515</v>
      </c>
      <c r="N159" s="68">
        <v>41087</v>
      </c>
      <c r="O159" s="68">
        <v>41087</v>
      </c>
    </row>
    <row r="160" spans="1:15">
      <c r="A160" s="65">
        <v>2012</v>
      </c>
      <c r="B160" s="66" t="s">
        <v>169</v>
      </c>
      <c r="C160" s="66" t="s">
        <v>170</v>
      </c>
      <c r="D160" s="67">
        <v>1015042</v>
      </c>
      <c r="E160" s="67">
        <v>2</v>
      </c>
      <c r="F160" s="67"/>
      <c r="G160" s="67">
        <v>44</v>
      </c>
      <c r="H160" s="67">
        <v>20</v>
      </c>
      <c r="I160" s="67" t="s">
        <v>181</v>
      </c>
      <c r="J160" s="67" t="s">
        <v>145</v>
      </c>
      <c r="K160" s="67" t="b">
        <v>1</v>
      </c>
      <c r="L160" s="63">
        <v>2014</v>
      </c>
      <c r="M160" s="64">
        <v>0.1454</v>
      </c>
      <c r="N160" s="68">
        <v>41087</v>
      </c>
      <c r="O160" s="68">
        <v>41087</v>
      </c>
    </row>
    <row r="161" spans="1:15">
      <c r="A161" s="65">
        <v>2012</v>
      </c>
      <c r="B161" s="66" t="s">
        <v>169</v>
      </c>
      <c r="C161" s="66" t="s">
        <v>170</v>
      </c>
      <c r="D161" s="67">
        <v>1015042</v>
      </c>
      <c r="E161" s="67">
        <v>2</v>
      </c>
      <c r="F161" s="67"/>
      <c r="G161" s="67">
        <v>12</v>
      </c>
      <c r="H161" s="67" t="s">
        <v>112</v>
      </c>
      <c r="I161" s="67"/>
      <c r="J161" s="67" t="s">
        <v>113</v>
      </c>
      <c r="K161" s="67" t="b">
        <v>0</v>
      </c>
      <c r="L161" s="63">
        <v>2013</v>
      </c>
      <c r="M161" s="64">
        <v>168084.48000000001</v>
      </c>
      <c r="N161" s="68">
        <v>41087</v>
      </c>
      <c r="O161" s="68">
        <v>41087</v>
      </c>
    </row>
    <row r="162" spans="1:15">
      <c r="A162" s="65">
        <v>2012</v>
      </c>
      <c r="B162" s="66" t="s">
        <v>169</v>
      </c>
      <c r="C162" s="66" t="s">
        <v>170</v>
      </c>
      <c r="D162" s="67">
        <v>1015042</v>
      </c>
      <c r="E162" s="67">
        <v>2</v>
      </c>
      <c r="F162" s="67"/>
      <c r="G162" s="67">
        <v>47</v>
      </c>
      <c r="H162" s="67" t="s">
        <v>147</v>
      </c>
      <c r="I162" s="67" t="s">
        <v>186</v>
      </c>
      <c r="J162" s="67" t="s">
        <v>76</v>
      </c>
      <c r="K162" s="67" t="b">
        <v>0</v>
      </c>
      <c r="L162" s="63">
        <v>2013</v>
      </c>
      <c r="M162" s="64">
        <v>294</v>
      </c>
      <c r="N162" s="68">
        <v>41087</v>
      </c>
      <c r="O162" s="68">
        <v>41087</v>
      </c>
    </row>
    <row r="163" spans="1:15">
      <c r="A163" s="65">
        <v>2012</v>
      </c>
      <c r="B163" s="66" t="s">
        <v>169</v>
      </c>
      <c r="C163" s="66" t="s">
        <v>170</v>
      </c>
      <c r="D163" s="67">
        <v>1015042</v>
      </c>
      <c r="E163" s="67">
        <v>2</v>
      </c>
      <c r="F163" s="67"/>
      <c r="G163" s="67">
        <v>48</v>
      </c>
      <c r="H163" s="67">
        <v>22</v>
      </c>
      <c r="I163" s="67" t="s">
        <v>193</v>
      </c>
      <c r="J163" s="67" t="s">
        <v>77</v>
      </c>
      <c r="K163" s="67" t="b">
        <v>0</v>
      </c>
      <c r="L163" s="63">
        <v>2015</v>
      </c>
      <c r="M163" s="64">
        <v>5.62E-2</v>
      </c>
      <c r="N163" s="68">
        <v>41087</v>
      </c>
      <c r="O163" s="68">
        <v>41087</v>
      </c>
    </row>
    <row r="164" spans="1:15">
      <c r="A164" s="65">
        <v>2012</v>
      </c>
      <c r="B164" s="66" t="s">
        <v>169</v>
      </c>
      <c r="C164" s="66" t="s">
        <v>170</v>
      </c>
      <c r="D164" s="67">
        <v>1015042</v>
      </c>
      <c r="E164" s="67">
        <v>2</v>
      </c>
      <c r="F164" s="67"/>
      <c r="G164" s="67">
        <v>46</v>
      </c>
      <c r="H164" s="67">
        <v>21</v>
      </c>
      <c r="I164" s="67" t="s">
        <v>190</v>
      </c>
      <c r="J164" s="67" t="s">
        <v>54</v>
      </c>
      <c r="K164" s="67" t="b">
        <v>1</v>
      </c>
      <c r="L164" s="63">
        <v>2015</v>
      </c>
      <c r="M164" s="64">
        <v>5.62E-2</v>
      </c>
      <c r="N164" s="68">
        <v>41087</v>
      </c>
      <c r="O164" s="68">
        <v>41087</v>
      </c>
    </row>
    <row r="165" spans="1:15">
      <c r="A165" s="65">
        <v>2012</v>
      </c>
      <c r="B165" s="66" t="s">
        <v>169</v>
      </c>
      <c r="C165" s="66" t="s">
        <v>170</v>
      </c>
      <c r="D165" s="67">
        <v>1015042</v>
      </c>
      <c r="E165" s="67">
        <v>2</v>
      </c>
      <c r="F165" s="67"/>
      <c r="G165" s="67">
        <v>33</v>
      </c>
      <c r="H165" s="67">
        <v>13</v>
      </c>
      <c r="I165" s="67"/>
      <c r="J165" s="67" t="s">
        <v>66</v>
      </c>
      <c r="K165" s="67" t="b">
        <v>1</v>
      </c>
      <c r="L165" s="63">
        <v>2015</v>
      </c>
      <c r="M165" s="64">
        <v>925247</v>
      </c>
      <c r="N165" s="68">
        <v>41087</v>
      </c>
      <c r="O165" s="68">
        <v>41087</v>
      </c>
    </row>
    <row r="166" spans="1:15">
      <c r="A166" s="65">
        <v>2012</v>
      </c>
      <c r="B166" s="66" t="s">
        <v>169</v>
      </c>
      <c r="C166" s="66" t="s">
        <v>170</v>
      </c>
      <c r="D166" s="67">
        <v>1015042</v>
      </c>
      <c r="E166" s="67">
        <v>2</v>
      </c>
      <c r="F166" s="67"/>
      <c r="G166" s="67">
        <v>15</v>
      </c>
      <c r="H166" s="67">
        <v>4</v>
      </c>
      <c r="I166" s="67"/>
      <c r="J166" s="67" t="s">
        <v>194</v>
      </c>
      <c r="K166" s="67" t="b">
        <v>0</v>
      </c>
      <c r="L166" s="63">
        <v>2012</v>
      </c>
      <c r="M166" s="64">
        <v>261500</v>
      </c>
      <c r="N166" s="68">
        <v>41087</v>
      </c>
      <c r="O166" s="68">
        <v>41087</v>
      </c>
    </row>
    <row r="167" spans="1:15">
      <c r="A167" s="65">
        <v>2012</v>
      </c>
      <c r="B167" s="66" t="s">
        <v>169</v>
      </c>
      <c r="C167" s="66" t="s">
        <v>170</v>
      </c>
      <c r="D167" s="67">
        <v>1015042</v>
      </c>
      <c r="E167" s="67">
        <v>2</v>
      </c>
      <c r="F167" s="67"/>
      <c r="G167" s="67">
        <v>54</v>
      </c>
      <c r="H167" s="67">
        <v>27</v>
      </c>
      <c r="I167" s="67" t="s">
        <v>177</v>
      </c>
      <c r="J167" s="67" t="s">
        <v>46</v>
      </c>
      <c r="K167" s="67" t="b">
        <v>0</v>
      </c>
      <c r="L167" s="63">
        <v>2015</v>
      </c>
      <c r="M167" s="64">
        <v>8004744</v>
      </c>
      <c r="N167" s="68">
        <v>41087</v>
      </c>
      <c r="O167" s="68">
        <v>41087</v>
      </c>
    </row>
    <row r="168" spans="1:15">
      <c r="A168" s="65">
        <v>2012</v>
      </c>
      <c r="B168" s="66" t="s">
        <v>169</v>
      </c>
      <c r="C168" s="66" t="s">
        <v>170</v>
      </c>
      <c r="D168" s="67">
        <v>1015042</v>
      </c>
      <c r="E168" s="67">
        <v>2</v>
      </c>
      <c r="F168" s="67"/>
      <c r="G168" s="67">
        <v>2</v>
      </c>
      <c r="H168" s="67" t="s">
        <v>94</v>
      </c>
      <c r="I168" s="67"/>
      <c r="J168" s="67" t="s">
        <v>95</v>
      </c>
      <c r="K168" s="67" t="b">
        <v>1</v>
      </c>
      <c r="L168" s="63">
        <v>2018</v>
      </c>
      <c r="M168" s="64">
        <v>9047491</v>
      </c>
      <c r="N168" s="68">
        <v>41087</v>
      </c>
      <c r="O168" s="68">
        <v>41087</v>
      </c>
    </row>
    <row r="169" spans="1:15">
      <c r="A169" s="65">
        <v>2012</v>
      </c>
      <c r="B169" s="66" t="s">
        <v>169</v>
      </c>
      <c r="C169" s="66" t="s">
        <v>170</v>
      </c>
      <c r="D169" s="67">
        <v>1015042</v>
      </c>
      <c r="E169" s="67">
        <v>2</v>
      </c>
      <c r="F169" s="67"/>
      <c r="G169" s="67">
        <v>33</v>
      </c>
      <c r="H169" s="67">
        <v>13</v>
      </c>
      <c r="I169" s="67"/>
      <c r="J169" s="67" t="s">
        <v>66</v>
      </c>
      <c r="K169" s="67" t="b">
        <v>1</v>
      </c>
      <c r="L169" s="63">
        <v>2013</v>
      </c>
      <c r="M169" s="64">
        <v>1794885</v>
      </c>
      <c r="N169" s="68">
        <v>41087</v>
      </c>
      <c r="O169" s="68">
        <v>41087</v>
      </c>
    </row>
    <row r="170" spans="1:15">
      <c r="A170" s="65">
        <v>2012</v>
      </c>
      <c r="B170" s="66" t="s">
        <v>169</v>
      </c>
      <c r="C170" s="66" t="s">
        <v>170</v>
      </c>
      <c r="D170" s="67">
        <v>1015042</v>
      </c>
      <c r="E170" s="67">
        <v>2</v>
      </c>
      <c r="F170" s="67"/>
      <c r="G170" s="67">
        <v>33</v>
      </c>
      <c r="H170" s="67">
        <v>13</v>
      </c>
      <c r="I170" s="67"/>
      <c r="J170" s="67" t="s">
        <v>66</v>
      </c>
      <c r="K170" s="67" t="b">
        <v>1</v>
      </c>
      <c r="L170" s="63">
        <v>2017</v>
      </c>
      <c r="M170" s="64">
        <v>148818</v>
      </c>
      <c r="N170" s="68">
        <v>41087</v>
      </c>
      <c r="O170" s="68">
        <v>41087</v>
      </c>
    </row>
    <row r="171" spans="1:15">
      <c r="A171" s="65">
        <v>2012</v>
      </c>
      <c r="B171" s="66" t="s">
        <v>169</v>
      </c>
      <c r="C171" s="66" t="s">
        <v>170</v>
      </c>
      <c r="D171" s="67">
        <v>1015042</v>
      </c>
      <c r="E171" s="67">
        <v>2</v>
      </c>
      <c r="F171" s="67"/>
      <c r="G171" s="67">
        <v>19</v>
      </c>
      <c r="H171" s="67">
        <v>6</v>
      </c>
      <c r="I171" s="67" t="s">
        <v>189</v>
      </c>
      <c r="J171" s="67" t="s">
        <v>121</v>
      </c>
      <c r="K171" s="67" t="b">
        <v>0</v>
      </c>
      <c r="L171" s="63">
        <v>2013</v>
      </c>
      <c r="M171" s="64">
        <v>2136043</v>
      </c>
      <c r="N171" s="68">
        <v>41087</v>
      </c>
      <c r="O171" s="68">
        <v>41087</v>
      </c>
    </row>
    <row r="172" spans="1:15">
      <c r="A172" s="65">
        <v>2012</v>
      </c>
      <c r="B172" s="66" t="s">
        <v>169</v>
      </c>
      <c r="C172" s="66" t="s">
        <v>170</v>
      </c>
      <c r="D172" s="67">
        <v>1015042</v>
      </c>
      <c r="E172" s="67">
        <v>2</v>
      </c>
      <c r="F172" s="67"/>
      <c r="G172" s="67">
        <v>27</v>
      </c>
      <c r="H172" s="67">
        <v>10</v>
      </c>
      <c r="I172" s="67"/>
      <c r="J172" s="67" t="s">
        <v>18</v>
      </c>
      <c r="K172" s="67" t="b">
        <v>0</v>
      </c>
      <c r="L172" s="63">
        <v>2013</v>
      </c>
      <c r="M172" s="64">
        <v>2123505.64</v>
      </c>
      <c r="N172" s="68">
        <v>41087</v>
      </c>
      <c r="O172" s="68">
        <v>41087</v>
      </c>
    </row>
    <row r="173" spans="1:15">
      <c r="A173" s="65">
        <v>2012</v>
      </c>
      <c r="B173" s="66" t="s">
        <v>169</v>
      </c>
      <c r="C173" s="66" t="s">
        <v>170</v>
      </c>
      <c r="D173" s="67">
        <v>1015042</v>
      </c>
      <c r="E173" s="67">
        <v>2</v>
      </c>
      <c r="F173" s="67"/>
      <c r="G173" s="67">
        <v>23</v>
      </c>
      <c r="H173" s="67" t="s">
        <v>126</v>
      </c>
      <c r="I173" s="67"/>
      <c r="J173" s="67" t="s">
        <v>127</v>
      </c>
      <c r="K173" s="67" t="b">
        <v>1</v>
      </c>
      <c r="L173" s="63">
        <v>2015</v>
      </c>
      <c r="M173" s="64">
        <v>75807</v>
      </c>
      <c r="N173" s="68">
        <v>41087</v>
      </c>
      <c r="O173" s="68">
        <v>41087</v>
      </c>
    </row>
    <row r="174" spans="1:15">
      <c r="A174" s="65">
        <v>2012</v>
      </c>
      <c r="B174" s="66" t="s">
        <v>169</v>
      </c>
      <c r="C174" s="66" t="s">
        <v>170</v>
      </c>
      <c r="D174" s="67">
        <v>1015042</v>
      </c>
      <c r="E174" s="67">
        <v>2</v>
      </c>
      <c r="F174" s="67"/>
      <c r="G174" s="67">
        <v>51</v>
      </c>
      <c r="H174" s="67">
        <v>24</v>
      </c>
      <c r="I174" s="67" t="s">
        <v>184</v>
      </c>
      <c r="J174" s="67" t="s">
        <v>150</v>
      </c>
      <c r="K174" s="67" t="b">
        <v>1</v>
      </c>
      <c r="L174" s="63">
        <v>2015</v>
      </c>
      <c r="M174" s="64">
        <v>7281668</v>
      </c>
      <c r="N174" s="68">
        <v>41087</v>
      </c>
      <c r="O174" s="68">
        <v>41087</v>
      </c>
    </row>
    <row r="175" spans="1:15">
      <c r="A175" s="65">
        <v>2012</v>
      </c>
      <c r="B175" s="66" t="s">
        <v>169</v>
      </c>
      <c r="C175" s="66" t="s">
        <v>170</v>
      </c>
      <c r="D175" s="67">
        <v>1015042</v>
      </c>
      <c r="E175" s="67">
        <v>2</v>
      </c>
      <c r="F175" s="67"/>
      <c r="G175" s="67">
        <v>46</v>
      </c>
      <c r="H175" s="67">
        <v>21</v>
      </c>
      <c r="I175" s="67" t="s">
        <v>190</v>
      </c>
      <c r="J175" s="67" t="s">
        <v>54</v>
      </c>
      <c r="K175" s="67" t="b">
        <v>1</v>
      </c>
      <c r="L175" s="63">
        <v>2014</v>
      </c>
      <c r="M175" s="64">
        <v>6.9500000000000006E-2</v>
      </c>
      <c r="N175" s="68">
        <v>41087</v>
      </c>
      <c r="O175" s="68">
        <v>41087</v>
      </c>
    </row>
    <row r="176" spans="1:15">
      <c r="A176" s="65">
        <v>2012</v>
      </c>
      <c r="B176" s="66" t="s">
        <v>169</v>
      </c>
      <c r="C176" s="66" t="s">
        <v>170</v>
      </c>
      <c r="D176" s="67">
        <v>1015042</v>
      </c>
      <c r="E176" s="67">
        <v>2</v>
      </c>
      <c r="F176" s="67"/>
      <c r="G176" s="67">
        <v>40</v>
      </c>
      <c r="H176" s="67">
        <v>18</v>
      </c>
      <c r="I176" s="67" t="s">
        <v>178</v>
      </c>
      <c r="J176" s="67" t="s">
        <v>69</v>
      </c>
      <c r="K176" s="67" t="b">
        <v>0</v>
      </c>
      <c r="L176" s="63">
        <v>2012</v>
      </c>
      <c r="M176" s="64">
        <v>0.1754</v>
      </c>
      <c r="N176" s="68">
        <v>41087</v>
      </c>
      <c r="O176" s="68">
        <v>41087</v>
      </c>
    </row>
    <row r="177" spans="1:15">
      <c r="A177" s="65">
        <v>2012</v>
      </c>
      <c r="B177" s="66" t="s">
        <v>169</v>
      </c>
      <c r="C177" s="66" t="s">
        <v>170</v>
      </c>
      <c r="D177" s="67">
        <v>1015042</v>
      </c>
      <c r="E177" s="67">
        <v>2</v>
      </c>
      <c r="F177" s="67"/>
      <c r="G177" s="67">
        <v>14</v>
      </c>
      <c r="H177" s="67">
        <v>3</v>
      </c>
      <c r="I177" s="67" t="s">
        <v>187</v>
      </c>
      <c r="J177" s="67" t="s">
        <v>116</v>
      </c>
      <c r="K177" s="67" t="b">
        <v>1</v>
      </c>
      <c r="L177" s="63">
        <v>2017</v>
      </c>
      <c r="M177" s="64">
        <v>1182122</v>
      </c>
      <c r="N177" s="68">
        <v>41087</v>
      </c>
      <c r="O177" s="68">
        <v>41087</v>
      </c>
    </row>
    <row r="178" spans="1:15">
      <c r="A178" s="65">
        <v>2012</v>
      </c>
      <c r="B178" s="66" t="s">
        <v>169</v>
      </c>
      <c r="C178" s="66" t="s">
        <v>170</v>
      </c>
      <c r="D178" s="67">
        <v>1015042</v>
      </c>
      <c r="E178" s="67">
        <v>2</v>
      </c>
      <c r="F178" s="67"/>
      <c r="G178" s="67">
        <v>44</v>
      </c>
      <c r="H178" s="67">
        <v>20</v>
      </c>
      <c r="I178" s="67" t="s">
        <v>181</v>
      </c>
      <c r="J178" s="67" t="s">
        <v>145</v>
      </c>
      <c r="K178" s="67" t="b">
        <v>1</v>
      </c>
      <c r="L178" s="63">
        <v>2018</v>
      </c>
      <c r="M178" s="64">
        <v>0.1293</v>
      </c>
      <c r="N178" s="68">
        <v>41087</v>
      </c>
      <c r="O178" s="68">
        <v>41087</v>
      </c>
    </row>
    <row r="179" spans="1:15">
      <c r="A179" s="65">
        <v>2012</v>
      </c>
      <c r="B179" s="66" t="s">
        <v>169</v>
      </c>
      <c r="C179" s="66" t="s">
        <v>170</v>
      </c>
      <c r="D179" s="67">
        <v>1015042</v>
      </c>
      <c r="E179" s="67">
        <v>2</v>
      </c>
      <c r="F179" s="67"/>
      <c r="G179" s="67">
        <v>48</v>
      </c>
      <c r="H179" s="67">
        <v>22</v>
      </c>
      <c r="I179" s="67" t="s">
        <v>193</v>
      </c>
      <c r="J179" s="67" t="s">
        <v>77</v>
      </c>
      <c r="K179" s="67" t="b">
        <v>0</v>
      </c>
      <c r="L179" s="63">
        <v>2016</v>
      </c>
      <c r="M179" s="64">
        <v>5.2299999999999999E-2</v>
      </c>
      <c r="N179" s="68">
        <v>41087</v>
      </c>
      <c r="O179" s="68">
        <v>41087</v>
      </c>
    </row>
    <row r="180" spans="1:15">
      <c r="A180" s="65">
        <v>2012</v>
      </c>
      <c r="B180" s="66" t="s">
        <v>169</v>
      </c>
      <c r="C180" s="66" t="s">
        <v>170</v>
      </c>
      <c r="D180" s="67">
        <v>1015042</v>
      </c>
      <c r="E180" s="67">
        <v>2</v>
      </c>
      <c r="F180" s="67"/>
      <c r="G180" s="67">
        <v>20</v>
      </c>
      <c r="H180" s="67">
        <v>7</v>
      </c>
      <c r="I180" s="67" t="s">
        <v>179</v>
      </c>
      <c r="J180" s="67" t="s">
        <v>12</v>
      </c>
      <c r="K180" s="67" t="b">
        <v>1</v>
      </c>
      <c r="L180" s="63">
        <v>2012</v>
      </c>
      <c r="M180" s="64">
        <v>772094</v>
      </c>
      <c r="N180" s="68">
        <v>41087</v>
      </c>
      <c r="O180" s="68">
        <v>41087</v>
      </c>
    </row>
    <row r="181" spans="1:15">
      <c r="A181" s="65">
        <v>2012</v>
      </c>
      <c r="B181" s="66" t="s">
        <v>169</v>
      </c>
      <c r="C181" s="66" t="s">
        <v>170</v>
      </c>
      <c r="D181" s="67">
        <v>1015042</v>
      </c>
      <c r="E181" s="67">
        <v>2</v>
      </c>
      <c r="F181" s="67"/>
      <c r="G181" s="67">
        <v>54</v>
      </c>
      <c r="H181" s="67">
        <v>27</v>
      </c>
      <c r="I181" s="67" t="s">
        <v>177</v>
      </c>
      <c r="J181" s="67" t="s">
        <v>46</v>
      </c>
      <c r="K181" s="67" t="b">
        <v>0</v>
      </c>
      <c r="L181" s="63">
        <v>2013</v>
      </c>
      <c r="M181" s="64">
        <v>8998827.6400000006</v>
      </c>
      <c r="N181" s="68">
        <v>41087</v>
      </c>
      <c r="O181" s="68">
        <v>41087</v>
      </c>
    </row>
    <row r="182" spans="1:15">
      <c r="A182" s="65">
        <v>2012</v>
      </c>
      <c r="B182" s="66" t="s">
        <v>169</v>
      </c>
      <c r="C182" s="66" t="s">
        <v>170</v>
      </c>
      <c r="D182" s="67">
        <v>1015042</v>
      </c>
      <c r="E182" s="67">
        <v>2</v>
      </c>
      <c r="F182" s="67"/>
      <c r="G182" s="67">
        <v>49</v>
      </c>
      <c r="H182" s="67" t="s">
        <v>148</v>
      </c>
      <c r="I182" s="67" t="s">
        <v>188</v>
      </c>
      <c r="J182" s="67" t="s">
        <v>79</v>
      </c>
      <c r="K182" s="67" t="b">
        <v>0</v>
      </c>
      <c r="L182" s="63">
        <v>2012</v>
      </c>
      <c r="M182" s="64">
        <v>860</v>
      </c>
      <c r="N182" s="68">
        <v>41087</v>
      </c>
      <c r="O182" s="68">
        <v>41087</v>
      </c>
    </row>
    <row r="183" spans="1:15">
      <c r="A183" s="65">
        <v>2012</v>
      </c>
      <c r="B183" s="66" t="s">
        <v>169</v>
      </c>
      <c r="C183" s="66" t="s">
        <v>170</v>
      </c>
      <c r="D183" s="67">
        <v>1015042</v>
      </c>
      <c r="E183" s="67">
        <v>2</v>
      </c>
      <c r="F183" s="67"/>
      <c r="G183" s="67">
        <v>12</v>
      </c>
      <c r="H183" s="67" t="s">
        <v>112</v>
      </c>
      <c r="I183" s="67"/>
      <c r="J183" s="67" t="s">
        <v>113</v>
      </c>
      <c r="K183" s="67" t="b">
        <v>0</v>
      </c>
      <c r="L183" s="63">
        <v>2015</v>
      </c>
      <c r="M183" s="64">
        <v>14000</v>
      </c>
      <c r="N183" s="68">
        <v>41087</v>
      </c>
      <c r="O183" s="68">
        <v>41087</v>
      </c>
    </row>
    <row r="184" spans="1:15">
      <c r="A184" s="65">
        <v>2012</v>
      </c>
      <c r="B184" s="66" t="s">
        <v>169</v>
      </c>
      <c r="C184" s="66" t="s">
        <v>170</v>
      </c>
      <c r="D184" s="67">
        <v>1015042</v>
      </c>
      <c r="E184" s="67">
        <v>2</v>
      </c>
      <c r="F184" s="67"/>
      <c r="G184" s="67">
        <v>55</v>
      </c>
      <c r="H184" s="67">
        <v>28</v>
      </c>
      <c r="I184" s="67" t="s">
        <v>176</v>
      </c>
      <c r="J184" s="67" t="s">
        <v>48</v>
      </c>
      <c r="K184" s="67" t="b">
        <v>0</v>
      </c>
      <c r="L184" s="63">
        <v>2017</v>
      </c>
      <c r="M184" s="64">
        <v>379678</v>
      </c>
      <c r="N184" s="68">
        <v>41087</v>
      </c>
      <c r="O184" s="68">
        <v>41087</v>
      </c>
    </row>
    <row r="185" spans="1:15">
      <c r="A185" s="65">
        <v>2012</v>
      </c>
      <c r="B185" s="66" t="s">
        <v>169</v>
      </c>
      <c r="C185" s="66" t="s">
        <v>170</v>
      </c>
      <c r="D185" s="67">
        <v>1015042</v>
      </c>
      <c r="E185" s="67">
        <v>2</v>
      </c>
      <c r="F185" s="67"/>
      <c r="G185" s="67">
        <v>30</v>
      </c>
      <c r="H185" s="67">
        <v>11</v>
      </c>
      <c r="I185" s="67"/>
      <c r="J185" s="67" t="s">
        <v>62</v>
      </c>
      <c r="K185" s="67" t="b">
        <v>1</v>
      </c>
      <c r="L185" s="63">
        <v>2012</v>
      </c>
      <c r="M185" s="64">
        <v>50000</v>
      </c>
      <c r="N185" s="68">
        <v>41087</v>
      </c>
      <c r="O185" s="68">
        <v>41087</v>
      </c>
    </row>
    <row r="186" spans="1:15">
      <c r="A186" s="65">
        <v>2012</v>
      </c>
      <c r="B186" s="66" t="s">
        <v>169</v>
      </c>
      <c r="C186" s="66" t="s">
        <v>170</v>
      </c>
      <c r="D186" s="67">
        <v>1015042</v>
      </c>
      <c r="E186" s="67">
        <v>2</v>
      </c>
      <c r="F186" s="67"/>
      <c r="G186" s="67">
        <v>50</v>
      </c>
      <c r="H186" s="67">
        <v>23</v>
      </c>
      <c r="I186" s="67" t="s">
        <v>172</v>
      </c>
      <c r="J186" s="67" t="s">
        <v>149</v>
      </c>
      <c r="K186" s="67" t="b">
        <v>1</v>
      </c>
      <c r="L186" s="63">
        <v>2012</v>
      </c>
      <c r="M186" s="64">
        <v>7927158.0499999998</v>
      </c>
      <c r="N186" s="68">
        <v>41087</v>
      </c>
      <c r="O186" s="68">
        <v>41087</v>
      </c>
    </row>
    <row r="187" spans="1:15">
      <c r="A187" s="65">
        <v>2012</v>
      </c>
      <c r="B187" s="66" t="s">
        <v>169</v>
      </c>
      <c r="C187" s="66" t="s">
        <v>170</v>
      </c>
      <c r="D187" s="67">
        <v>1015042</v>
      </c>
      <c r="E187" s="67">
        <v>2</v>
      </c>
      <c r="F187" s="67"/>
      <c r="G187" s="67">
        <v>44</v>
      </c>
      <c r="H187" s="67">
        <v>20</v>
      </c>
      <c r="I187" s="67" t="s">
        <v>181</v>
      </c>
      <c r="J187" s="67" t="s">
        <v>145</v>
      </c>
      <c r="K187" s="67" t="b">
        <v>1</v>
      </c>
      <c r="L187" s="63">
        <v>2016</v>
      </c>
      <c r="M187" s="64">
        <v>0.13189999999999999</v>
      </c>
      <c r="N187" s="68">
        <v>41087</v>
      </c>
      <c r="O187" s="68">
        <v>41087</v>
      </c>
    </row>
    <row r="188" spans="1:15">
      <c r="A188" s="65">
        <v>2012</v>
      </c>
      <c r="B188" s="66" t="s">
        <v>169</v>
      </c>
      <c r="C188" s="66" t="s">
        <v>170</v>
      </c>
      <c r="D188" s="67">
        <v>1015042</v>
      </c>
      <c r="E188" s="67">
        <v>2</v>
      </c>
      <c r="F188" s="67"/>
      <c r="G188" s="67">
        <v>47</v>
      </c>
      <c r="H188" s="67" t="s">
        <v>147</v>
      </c>
      <c r="I188" s="67" t="s">
        <v>186</v>
      </c>
      <c r="J188" s="67" t="s">
        <v>76</v>
      </c>
      <c r="K188" s="67" t="b">
        <v>0</v>
      </c>
      <c r="L188" s="63">
        <v>2014</v>
      </c>
      <c r="M188" s="64">
        <v>177</v>
      </c>
      <c r="N188" s="68">
        <v>41087</v>
      </c>
      <c r="O188" s="68">
        <v>41087</v>
      </c>
    </row>
    <row r="189" spans="1:15">
      <c r="A189" s="65">
        <v>2012</v>
      </c>
      <c r="B189" s="66" t="s">
        <v>169</v>
      </c>
      <c r="C189" s="66" t="s">
        <v>170</v>
      </c>
      <c r="D189" s="67">
        <v>1015042</v>
      </c>
      <c r="E189" s="67">
        <v>2</v>
      </c>
      <c r="F189" s="67"/>
      <c r="G189" s="67">
        <v>53</v>
      </c>
      <c r="H189" s="67">
        <v>26</v>
      </c>
      <c r="I189" s="67" t="s">
        <v>180</v>
      </c>
      <c r="J189" s="67" t="s">
        <v>151</v>
      </c>
      <c r="K189" s="67" t="b">
        <v>1</v>
      </c>
      <c r="L189" s="63">
        <v>2012</v>
      </c>
      <c r="M189" s="64">
        <v>9767279.0500000007</v>
      </c>
      <c r="N189" s="68">
        <v>41087</v>
      </c>
      <c r="O189" s="68">
        <v>41087</v>
      </c>
    </row>
    <row r="190" spans="1:15">
      <c r="A190" s="65">
        <v>2012</v>
      </c>
      <c r="B190" s="66" t="s">
        <v>169</v>
      </c>
      <c r="C190" s="66" t="s">
        <v>170</v>
      </c>
      <c r="D190" s="67">
        <v>1015042</v>
      </c>
      <c r="E190" s="67">
        <v>2</v>
      </c>
      <c r="F190" s="67"/>
      <c r="G190" s="67">
        <v>20</v>
      </c>
      <c r="H190" s="67">
        <v>7</v>
      </c>
      <c r="I190" s="67" t="s">
        <v>179</v>
      </c>
      <c r="J190" s="67" t="s">
        <v>12</v>
      </c>
      <c r="K190" s="67" t="b">
        <v>1</v>
      </c>
      <c r="L190" s="63">
        <v>2014</v>
      </c>
      <c r="M190" s="64">
        <v>573462</v>
      </c>
      <c r="N190" s="68">
        <v>41087</v>
      </c>
      <c r="O190" s="68">
        <v>41087</v>
      </c>
    </row>
    <row r="191" spans="1:15">
      <c r="A191" s="65">
        <v>2012</v>
      </c>
      <c r="B191" s="66" t="s">
        <v>169</v>
      </c>
      <c r="C191" s="66" t="s">
        <v>170</v>
      </c>
      <c r="D191" s="67">
        <v>1015042</v>
      </c>
      <c r="E191" s="67">
        <v>2</v>
      </c>
      <c r="F191" s="67"/>
      <c r="G191" s="67">
        <v>9</v>
      </c>
      <c r="H191" s="67" t="s">
        <v>106</v>
      </c>
      <c r="I191" s="67"/>
      <c r="J191" s="67" t="s">
        <v>107</v>
      </c>
      <c r="K191" s="67" t="b">
        <v>0</v>
      </c>
      <c r="L191" s="63">
        <v>2012</v>
      </c>
      <c r="M191" s="64">
        <v>1076440</v>
      </c>
      <c r="N191" s="68">
        <v>41087</v>
      </c>
      <c r="O191" s="68">
        <v>41087</v>
      </c>
    </row>
    <row r="192" spans="1:15">
      <c r="A192" s="65">
        <v>2012</v>
      </c>
      <c r="B192" s="66" t="s">
        <v>169</v>
      </c>
      <c r="C192" s="66" t="s">
        <v>170</v>
      </c>
      <c r="D192" s="67">
        <v>1015042</v>
      </c>
      <c r="E192" s="67">
        <v>2</v>
      </c>
      <c r="F192" s="67"/>
      <c r="G192" s="67">
        <v>27</v>
      </c>
      <c r="H192" s="67">
        <v>10</v>
      </c>
      <c r="I192" s="67"/>
      <c r="J192" s="67" t="s">
        <v>18</v>
      </c>
      <c r="K192" s="67" t="b">
        <v>0</v>
      </c>
      <c r="L192" s="63">
        <v>2016</v>
      </c>
      <c r="M192" s="64">
        <v>739406</v>
      </c>
      <c r="N192" s="68">
        <v>41087</v>
      </c>
      <c r="O192" s="68">
        <v>41087</v>
      </c>
    </row>
    <row r="193" spans="1:15">
      <c r="A193" s="65">
        <v>2012</v>
      </c>
      <c r="B193" s="66" t="s">
        <v>169</v>
      </c>
      <c r="C193" s="66" t="s">
        <v>170</v>
      </c>
      <c r="D193" s="67">
        <v>1015042</v>
      </c>
      <c r="E193" s="67">
        <v>2</v>
      </c>
      <c r="F193" s="67"/>
      <c r="G193" s="67">
        <v>19</v>
      </c>
      <c r="H193" s="67">
        <v>6</v>
      </c>
      <c r="I193" s="67" t="s">
        <v>189</v>
      </c>
      <c r="J193" s="67" t="s">
        <v>121</v>
      </c>
      <c r="K193" s="67" t="b">
        <v>0</v>
      </c>
      <c r="L193" s="63">
        <v>2012</v>
      </c>
      <c r="M193" s="64">
        <v>2985925.5</v>
      </c>
      <c r="N193" s="68">
        <v>41087</v>
      </c>
      <c r="O193" s="68">
        <v>41087</v>
      </c>
    </row>
    <row r="194" spans="1:15">
      <c r="A194" s="65">
        <v>2012</v>
      </c>
      <c r="B194" s="66" t="s">
        <v>169</v>
      </c>
      <c r="C194" s="66" t="s">
        <v>170</v>
      </c>
      <c r="D194" s="67">
        <v>1015042</v>
      </c>
      <c r="E194" s="67">
        <v>2</v>
      </c>
      <c r="F194" s="67"/>
      <c r="G194" s="67">
        <v>49</v>
      </c>
      <c r="H194" s="67" t="s">
        <v>148</v>
      </c>
      <c r="I194" s="67" t="s">
        <v>188</v>
      </c>
      <c r="J194" s="67" t="s">
        <v>79</v>
      </c>
      <c r="K194" s="67" t="b">
        <v>0</v>
      </c>
      <c r="L194" s="63">
        <v>2016</v>
      </c>
      <c r="M194" s="64">
        <v>856</v>
      </c>
      <c r="N194" s="68">
        <v>41087</v>
      </c>
      <c r="O194" s="68">
        <v>41087</v>
      </c>
    </row>
    <row r="195" spans="1:15">
      <c r="A195" s="65">
        <v>2012</v>
      </c>
      <c r="B195" s="66" t="s">
        <v>169</v>
      </c>
      <c r="C195" s="66" t="s">
        <v>170</v>
      </c>
      <c r="D195" s="67">
        <v>1015042</v>
      </c>
      <c r="E195" s="67">
        <v>2</v>
      </c>
      <c r="F195" s="67"/>
      <c r="G195" s="67">
        <v>52</v>
      </c>
      <c r="H195" s="67">
        <v>25</v>
      </c>
      <c r="I195" s="67" t="s">
        <v>185</v>
      </c>
      <c r="J195" s="67" t="s">
        <v>49</v>
      </c>
      <c r="K195" s="67" t="b">
        <v>1</v>
      </c>
      <c r="L195" s="63">
        <v>2014</v>
      </c>
      <c r="M195" s="64">
        <v>1200211</v>
      </c>
      <c r="N195" s="68">
        <v>41087</v>
      </c>
      <c r="O195" s="68">
        <v>41087</v>
      </c>
    </row>
    <row r="196" spans="1:15">
      <c r="A196" s="65">
        <v>2012</v>
      </c>
      <c r="B196" s="66" t="s">
        <v>169</v>
      </c>
      <c r="C196" s="66" t="s">
        <v>170</v>
      </c>
      <c r="D196" s="67">
        <v>1015042</v>
      </c>
      <c r="E196" s="67">
        <v>2</v>
      </c>
      <c r="F196" s="67"/>
      <c r="G196" s="67">
        <v>45</v>
      </c>
      <c r="H196" s="67" t="s">
        <v>146</v>
      </c>
      <c r="I196" s="67" t="s">
        <v>174</v>
      </c>
      <c r="J196" s="67" t="s">
        <v>53</v>
      </c>
      <c r="K196" s="67" t="b">
        <v>0</v>
      </c>
      <c r="L196" s="63">
        <v>2017</v>
      </c>
      <c r="M196" s="64">
        <v>0.13689999999999999</v>
      </c>
      <c r="N196" s="68">
        <v>41087</v>
      </c>
      <c r="O196" s="68">
        <v>41087</v>
      </c>
    </row>
    <row r="197" spans="1:15">
      <c r="A197" s="65">
        <v>2012</v>
      </c>
      <c r="B197" s="66" t="s">
        <v>169</v>
      </c>
      <c r="C197" s="66" t="s">
        <v>170</v>
      </c>
      <c r="D197" s="67">
        <v>1015042</v>
      </c>
      <c r="E197" s="67">
        <v>2</v>
      </c>
      <c r="F197" s="67"/>
      <c r="G197" s="67">
        <v>37</v>
      </c>
      <c r="H197" s="67">
        <v>16</v>
      </c>
      <c r="I197" s="67"/>
      <c r="J197" s="67" t="s">
        <v>140</v>
      </c>
      <c r="K197" s="67" t="b">
        <v>1</v>
      </c>
      <c r="L197" s="63">
        <v>2016</v>
      </c>
      <c r="M197" s="64">
        <v>396751</v>
      </c>
      <c r="N197" s="68">
        <v>41087</v>
      </c>
      <c r="O197" s="68">
        <v>41087</v>
      </c>
    </row>
    <row r="198" spans="1:15">
      <c r="A198" s="65">
        <v>2012</v>
      </c>
      <c r="B198" s="66" t="s">
        <v>169</v>
      </c>
      <c r="C198" s="66" t="s">
        <v>170</v>
      </c>
      <c r="D198" s="67">
        <v>1015042</v>
      </c>
      <c r="E198" s="67">
        <v>2</v>
      </c>
      <c r="F198" s="67"/>
      <c r="G198" s="67">
        <v>20</v>
      </c>
      <c r="H198" s="67">
        <v>7</v>
      </c>
      <c r="I198" s="67" t="s">
        <v>179</v>
      </c>
      <c r="J198" s="67" t="s">
        <v>12</v>
      </c>
      <c r="K198" s="67" t="b">
        <v>1</v>
      </c>
      <c r="L198" s="63">
        <v>2013</v>
      </c>
      <c r="M198" s="64">
        <v>472537.36</v>
      </c>
      <c r="N198" s="68">
        <v>41087</v>
      </c>
      <c r="O198" s="68">
        <v>41087</v>
      </c>
    </row>
    <row r="199" spans="1:15">
      <c r="A199" s="65">
        <v>2012</v>
      </c>
      <c r="B199" s="66" t="s">
        <v>169</v>
      </c>
      <c r="C199" s="66" t="s">
        <v>170</v>
      </c>
      <c r="D199" s="67">
        <v>1015042</v>
      </c>
      <c r="E199" s="67">
        <v>2</v>
      </c>
      <c r="F199" s="67"/>
      <c r="G199" s="67">
        <v>23</v>
      </c>
      <c r="H199" s="67" t="s">
        <v>126</v>
      </c>
      <c r="I199" s="67"/>
      <c r="J199" s="67" t="s">
        <v>127</v>
      </c>
      <c r="K199" s="67" t="b">
        <v>1</v>
      </c>
      <c r="L199" s="63">
        <v>2017</v>
      </c>
      <c r="M199" s="64">
        <v>29969</v>
      </c>
      <c r="N199" s="68">
        <v>41087</v>
      </c>
      <c r="O199" s="68">
        <v>41087</v>
      </c>
    </row>
    <row r="200" spans="1:15">
      <c r="A200" s="65">
        <v>2012</v>
      </c>
      <c r="B200" s="66" t="s">
        <v>169</v>
      </c>
      <c r="C200" s="66" t="s">
        <v>170</v>
      </c>
      <c r="D200" s="67">
        <v>1015042</v>
      </c>
      <c r="E200" s="67">
        <v>2</v>
      </c>
      <c r="F200" s="67"/>
      <c r="G200" s="67">
        <v>14</v>
      </c>
      <c r="H200" s="67">
        <v>3</v>
      </c>
      <c r="I200" s="67" t="s">
        <v>187</v>
      </c>
      <c r="J200" s="67" t="s">
        <v>116</v>
      </c>
      <c r="K200" s="67" t="b">
        <v>1</v>
      </c>
      <c r="L200" s="63">
        <v>2018</v>
      </c>
      <c r="M200" s="64">
        <v>1173451</v>
      </c>
      <c r="N200" s="68">
        <v>41087</v>
      </c>
      <c r="O200" s="68">
        <v>41087</v>
      </c>
    </row>
    <row r="201" spans="1:15">
      <c r="A201" s="65">
        <v>2012</v>
      </c>
      <c r="B201" s="66" t="s">
        <v>169</v>
      </c>
      <c r="C201" s="66" t="s">
        <v>170</v>
      </c>
      <c r="D201" s="67">
        <v>1015042</v>
      </c>
      <c r="E201" s="67">
        <v>2</v>
      </c>
      <c r="F201" s="67"/>
      <c r="G201" s="67">
        <v>41</v>
      </c>
      <c r="H201" s="67" t="s">
        <v>143</v>
      </c>
      <c r="I201" s="67" t="s">
        <v>191</v>
      </c>
      <c r="J201" s="67" t="s">
        <v>71</v>
      </c>
      <c r="K201" s="67" t="b">
        <v>0</v>
      </c>
      <c r="L201" s="63">
        <v>2012</v>
      </c>
      <c r="M201" s="64">
        <v>0.1754</v>
      </c>
      <c r="N201" s="68">
        <v>41087</v>
      </c>
      <c r="O201" s="68">
        <v>41087</v>
      </c>
    </row>
    <row r="202" spans="1:15">
      <c r="A202" s="65">
        <v>2012</v>
      </c>
      <c r="B202" s="66" t="s">
        <v>169</v>
      </c>
      <c r="C202" s="66" t="s">
        <v>170</v>
      </c>
      <c r="D202" s="67">
        <v>1015042</v>
      </c>
      <c r="E202" s="67">
        <v>2</v>
      </c>
      <c r="F202" s="67"/>
      <c r="G202" s="67">
        <v>41</v>
      </c>
      <c r="H202" s="67" t="s">
        <v>143</v>
      </c>
      <c r="I202" s="67" t="s">
        <v>191</v>
      </c>
      <c r="J202" s="67" t="s">
        <v>71</v>
      </c>
      <c r="K202" s="67" t="b">
        <v>0</v>
      </c>
      <c r="L202" s="63">
        <v>2014</v>
      </c>
      <c r="M202" s="64">
        <v>0.16020000000000001</v>
      </c>
      <c r="N202" s="68">
        <v>41087</v>
      </c>
      <c r="O202" s="68">
        <v>41087</v>
      </c>
    </row>
    <row r="203" spans="1:15">
      <c r="A203" s="65">
        <v>2012</v>
      </c>
      <c r="B203" s="66" t="s">
        <v>169</v>
      </c>
      <c r="C203" s="66" t="s">
        <v>170</v>
      </c>
      <c r="D203" s="67">
        <v>1015042</v>
      </c>
      <c r="E203" s="67">
        <v>2</v>
      </c>
      <c r="F203" s="67"/>
      <c r="G203" s="67">
        <v>45</v>
      </c>
      <c r="H203" s="67" t="s">
        <v>146</v>
      </c>
      <c r="I203" s="67" t="s">
        <v>174</v>
      </c>
      <c r="J203" s="67" t="s">
        <v>53</v>
      </c>
      <c r="K203" s="67" t="b">
        <v>0</v>
      </c>
      <c r="L203" s="63">
        <v>2015</v>
      </c>
      <c r="M203" s="64">
        <v>0.125</v>
      </c>
      <c r="N203" s="68">
        <v>41087</v>
      </c>
      <c r="O203" s="68">
        <v>41087</v>
      </c>
    </row>
    <row r="204" spans="1:15">
      <c r="A204" s="65">
        <v>2012</v>
      </c>
      <c r="B204" s="66" t="s">
        <v>169</v>
      </c>
      <c r="C204" s="66" t="s">
        <v>170</v>
      </c>
      <c r="D204" s="67">
        <v>1015042</v>
      </c>
      <c r="E204" s="67">
        <v>2</v>
      </c>
      <c r="F204" s="67"/>
      <c r="G204" s="67">
        <v>21</v>
      </c>
      <c r="H204" s="67" t="s">
        <v>122</v>
      </c>
      <c r="I204" s="67"/>
      <c r="J204" s="67" t="s">
        <v>123</v>
      </c>
      <c r="K204" s="67" t="b">
        <v>1</v>
      </c>
      <c r="L204" s="63">
        <v>2014</v>
      </c>
      <c r="M204" s="64">
        <v>472887</v>
      </c>
      <c r="N204" s="68">
        <v>41087</v>
      </c>
      <c r="O204" s="68">
        <v>41087</v>
      </c>
    </row>
    <row r="205" spans="1:15">
      <c r="A205" s="65">
        <v>2012</v>
      </c>
      <c r="B205" s="66" t="s">
        <v>169</v>
      </c>
      <c r="C205" s="66" t="s">
        <v>170</v>
      </c>
      <c r="D205" s="67">
        <v>1015042</v>
      </c>
      <c r="E205" s="67">
        <v>2</v>
      </c>
      <c r="F205" s="67"/>
      <c r="G205" s="67">
        <v>53</v>
      </c>
      <c r="H205" s="67">
        <v>26</v>
      </c>
      <c r="I205" s="67" t="s">
        <v>180</v>
      </c>
      <c r="J205" s="67" t="s">
        <v>151</v>
      </c>
      <c r="K205" s="67" t="b">
        <v>1</v>
      </c>
      <c r="L205" s="63">
        <v>2018</v>
      </c>
      <c r="M205" s="64">
        <v>9047491</v>
      </c>
      <c r="N205" s="68">
        <v>41087</v>
      </c>
      <c r="O205" s="68">
        <v>41087</v>
      </c>
    </row>
    <row r="206" spans="1:15">
      <c r="A206" s="65">
        <v>2012</v>
      </c>
      <c r="B206" s="66" t="s">
        <v>169</v>
      </c>
      <c r="C206" s="66" t="s">
        <v>170</v>
      </c>
      <c r="D206" s="67">
        <v>1015042</v>
      </c>
      <c r="E206" s="67">
        <v>2</v>
      </c>
      <c r="F206" s="67"/>
      <c r="G206" s="67">
        <v>46</v>
      </c>
      <c r="H206" s="67">
        <v>21</v>
      </c>
      <c r="I206" s="67" t="s">
        <v>190</v>
      </c>
      <c r="J206" s="67" t="s">
        <v>54</v>
      </c>
      <c r="K206" s="67" t="b">
        <v>1</v>
      </c>
      <c r="L206" s="63">
        <v>2016</v>
      </c>
      <c r="M206" s="64">
        <v>5.2299999999999999E-2</v>
      </c>
      <c r="N206" s="68">
        <v>41087</v>
      </c>
      <c r="O206" s="68">
        <v>41087</v>
      </c>
    </row>
    <row r="207" spans="1:15">
      <c r="A207" s="65">
        <v>2012</v>
      </c>
      <c r="B207" s="66" t="s">
        <v>169</v>
      </c>
      <c r="C207" s="66" t="s">
        <v>170</v>
      </c>
      <c r="D207" s="67">
        <v>1015042</v>
      </c>
      <c r="E207" s="67">
        <v>2</v>
      </c>
      <c r="F207" s="67"/>
      <c r="G207" s="67">
        <v>2</v>
      </c>
      <c r="H207" s="67" t="s">
        <v>94</v>
      </c>
      <c r="I207" s="67"/>
      <c r="J207" s="67" t="s">
        <v>95</v>
      </c>
      <c r="K207" s="67" t="b">
        <v>1</v>
      </c>
      <c r="L207" s="63">
        <v>2013</v>
      </c>
      <c r="M207" s="64">
        <v>7999664</v>
      </c>
      <c r="N207" s="68">
        <v>41087</v>
      </c>
      <c r="O207" s="68">
        <v>41087</v>
      </c>
    </row>
    <row r="208" spans="1:15">
      <c r="A208" s="65">
        <v>2012</v>
      </c>
      <c r="B208" s="66" t="s">
        <v>169</v>
      </c>
      <c r="C208" s="66" t="s">
        <v>170</v>
      </c>
      <c r="D208" s="67">
        <v>1015042</v>
      </c>
      <c r="E208" s="67">
        <v>2</v>
      </c>
      <c r="F208" s="67"/>
      <c r="G208" s="67">
        <v>43</v>
      </c>
      <c r="H208" s="67" t="s">
        <v>144</v>
      </c>
      <c r="I208" s="67" t="s">
        <v>171</v>
      </c>
      <c r="J208" s="67" t="s">
        <v>74</v>
      </c>
      <c r="K208" s="67" t="b">
        <v>0</v>
      </c>
      <c r="L208" s="63">
        <v>2016</v>
      </c>
      <c r="M208" s="64">
        <v>5.2299999999999999E-2</v>
      </c>
      <c r="N208" s="68">
        <v>41087</v>
      </c>
      <c r="O208" s="68">
        <v>41087</v>
      </c>
    </row>
    <row r="209" spans="1:15">
      <c r="A209" s="65">
        <v>2012</v>
      </c>
      <c r="B209" s="66" t="s">
        <v>169</v>
      </c>
      <c r="C209" s="66" t="s">
        <v>170</v>
      </c>
      <c r="D209" s="67">
        <v>1015042</v>
      </c>
      <c r="E209" s="67">
        <v>2</v>
      </c>
      <c r="F209" s="67"/>
      <c r="G209" s="67">
        <v>42</v>
      </c>
      <c r="H209" s="67">
        <v>19</v>
      </c>
      <c r="I209" s="67" t="s">
        <v>182</v>
      </c>
      <c r="J209" s="67" t="s">
        <v>72</v>
      </c>
      <c r="K209" s="67" t="b">
        <v>1</v>
      </c>
      <c r="L209" s="63">
        <v>2016</v>
      </c>
      <c r="M209" s="64">
        <v>5.2299999999999999E-2</v>
      </c>
      <c r="N209" s="68">
        <v>41087</v>
      </c>
      <c r="O209" s="68">
        <v>41087</v>
      </c>
    </row>
    <row r="210" spans="1:15">
      <c r="A210" s="65">
        <v>2012</v>
      </c>
      <c r="B210" s="66" t="s">
        <v>169</v>
      </c>
      <c r="C210" s="66" t="s">
        <v>170</v>
      </c>
      <c r="D210" s="67">
        <v>1015042</v>
      </c>
      <c r="E210" s="67">
        <v>2</v>
      </c>
      <c r="F210" s="67"/>
      <c r="G210" s="67">
        <v>53</v>
      </c>
      <c r="H210" s="67">
        <v>26</v>
      </c>
      <c r="I210" s="67" t="s">
        <v>180</v>
      </c>
      <c r="J210" s="67" t="s">
        <v>151</v>
      </c>
      <c r="K210" s="67" t="b">
        <v>1</v>
      </c>
      <c r="L210" s="63">
        <v>2014</v>
      </c>
      <c r="M210" s="64">
        <v>8252557</v>
      </c>
      <c r="N210" s="68">
        <v>41087</v>
      </c>
      <c r="O210" s="68">
        <v>41087</v>
      </c>
    </row>
    <row r="211" spans="1:15">
      <c r="A211" s="65">
        <v>2012</v>
      </c>
      <c r="B211" s="66" t="s">
        <v>169</v>
      </c>
      <c r="C211" s="66" t="s">
        <v>170</v>
      </c>
      <c r="D211" s="67">
        <v>1015042</v>
      </c>
      <c r="E211" s="67">
        <v>2</v>
      </c>
      <c r="F211" s="67"/>
      <c r="G211" s="67">
        <v>27</v>
      </c>
      <c r="H211" s="67">
        <v>10</v>
      </c>
      <c r="I211" s="67"/>
      <c r="J211" s="67" t="s">
        <v>18</v>
      </c>
      <c r="K211" s="67" t="b">
        <v>0</v>
      </c>
      <c r="L211" s="63">
        <v>2017</v>
      </c>
      <c r="M211" s="64">
        <v>772475</v>
      </c>
      <c r="N211" s="68">
        <v>41087</v>
      </c>
      <c r="O211" s="68">
        <v>41087</v>
      </c>
    </row>
    <row r="212" spans="1:15">
      <c r="A212" s="65">
        <v>2012</v>
      </c>
      <c r="B212" s="66" t="s">
        <v>169</v>
      </c>
      <c r="C212" s="66" t="s">
        <v>170</v>
      </c>
      <c r="D212" s="67">
        <v>1015042</v>
      </c>
      <c r="E212" s="67">
        <v>2</v>
      </c>
      <c r="F212" s="67"/>
      <c r="G212" s="67">
        <v>33</v>
      </c>
      <c r="H212" s="67">
        <v>13</v>
      </c>
      <c r="I212" s="67"/>
      <c r="J212" s="67" t="s">
        <v>66</v>
      </c>
      <c r="K212" s="67" t="b">
        <v>1</v>
      </c>
      <c r="L212" s="63">
        <v>2016</v>
      </c>
      <c r="M212" s="64">
        <v>528496</v>
      </c>
      <c r="N212" s="68">
        <v>41087</v>
      </c>
      <c r="O212" s="68">
        <v>41087</v>
      </c>
    </row>
    <row r="213" spans="1:15">
      <c r="A213" s="65">
        <v>2012</v>
      </c>
      <c r="B213" s="66" t="s">
        <v>169</v>
      </c>
      <c r="C213" s="66" t="s">
        <v>170</v>
      </c>
      <c r="D213" s="67">
        <v>1015042</v>
      </c>
      <c r="E213" s="67">
        <v>2</v>
      </c>
      <c r="F213" s="67"/>
      <c r="G213" s="67">
        <v>8</v>
      </c>
      <c r="H213" s="67" t="s">
        <v>104</v>
      </c>
      <c r="I213" s="67"/>
      <c r="J213" s="67" t="s">
        <v>105</v>
      </c>
      <c r="K213" s="67" t="b">
        <v>0</v>
      </c>
      <c r="L213" s="63">
        <v>2018</v>
      </c>
      <c r="M213" s="64">
        <v>3686869</v>
      </c>
      <c r="N213" s="68">
        <v>41087</v>
      </c>
      <c r="O213" s="68">
        <v>41087</v>
      </c>
    </row>
    <row r="214" spans="1:15">
      <c r="A214" s="65">
        <v>2012</v>
      </c>
      <c r="B214" s="66" t="s">
        <v>169</v>
      </c>
      <c r="C214" s="66" t="s">
        <v>170</v>
      </c>
      <c r="D214" s="67">
        <v>1015042</v>
      </c>
      <c r="E214" s="67">
        <v>2</v>
      </c>
      <c r="F214" s="67"/>
      <c r="G214" s="67">
        <v>41</v>
      </c>
      <c r="H214" s="67" t="s">
        <v>143</v>
      </c>
      <c r="I214" s="67" t="s">
        <v>191</v>
      </c>
      <c r="J214" s="67" t="s">
        <v>71</v>
      </c>
      <c r="K214" s="67" t="b">
        <v>0</v>
      </c>
      <c r="L214" s="63">
        <v>2017</v>
      </c>
      <c r="M214" s="64">
        <v>1.6899999999999998E-2</v>
      </c>
      <c r="N214" s="68">
        <v>41087</v>
      </c>
      <c r="O214" s="68">
        <v>41087</v>
      </c>
    </row>
    <row r="215" spans="1:15">
      <c r="A215" s="65">
        <v>2012</v>
      </c>
      <c r="B215" s="66" t="s">
        <v>169</v>
      </c>
      <c r="C215" s="66" t="s">
        <v>170</v>
      </c>
      <c r="D215" s="67">
        <v>1015042</v>
      </c>
      <c r="E215" s="67">
        <v>2</v>
      </c>
      <c r="F215" s="67"/>
      <c r="G215" s="67">
        <v>7</v>
      </c>
      <c r="H215" s="67">
        <v>2</v>
      </c>
      <c r="I215" s="67"/>
      <c r="J215" s="67" t="s">
        <v>3</v>
      </c>
      <c r="K215" s="67" t="b">
        <v>1</v>
      </c>
      <c r="L215" s="63">
        <v>2013</v>
      </c>
      <c r="M215" s="64">
        <v>6781472</v>
      </c>
      <c r="N215" s="68">
        <v>41087</v>
      </c>
      <c r="O215" s="68">
        <v>41087</v>
      </c>
    </row>
    <row r="216" spans="1:15">
      <c r="A216" s="65">
        <v>2012</v>
      </c>
      <c r="B216" s="66" t="s">
        <v>169</v>
      </c>
      <c r="C216" s="66" t="s">
        <v>170</v>
      </c>
      <c r="D216" s="67">
        <v>1015042</v>
      </c>
      <c r="E216" s="67">
        <v>2</v>
      </c>
      <c r="F216" s="67"/>
      <c r="G216" s="67">
        <v>7</v>
      </c>
      <c r="H216" s="67">
        <v>2</v>
      </c>
      <c r="I216" s="67"/>
      <c r="J216" s="67" t="s">
        <v>3</v>
      </c>
      <c r="K216" s="67" t="b">
        <v>1</v>
      </c>
      <c r="L216" s="63">
        <v>2012</v>
      </c>
      <c r="M216" s="64">
        <v>7042853.5499999998</v>
      </c>
      <c r="N216" s="68">
        <v>41087</v>
      </c>
      <c r="O216" s="68">
        <v>41087</v>
      </c>
    </row>
    <row r="217" spans="1:15">
      <c r="A217" s="65">
        <v>2012</v>
      </c>
      <c r="B217" s="66" t="s">
        <v>169</v>
      </c>
      <c r="C217" s="66" t="s">
        <v>170</v>
      </c>
      <c r="D217" s="67">
        <v>1015042</v>
      </c>
      <c r="E217" s="67">
        <v>2</v>
      </c>
      <c r="F217" s="67"/>
      <c r="G217" s="67">
        <v>26</v>
      </c>
      <c r="H217" s="67">
        <v>9</v>
      </c>
      <c r="I217" s="67" t="s">
        <v>175</v>
      </c>
      <c r="J217" s="67" t="s">
        <v>131</v>
      </c>
      <c r="K217" s="67" t="b">
        <v>0</v>
      </c>
      <c r="L217" s="63">
        <v>2015</v>
      </c>
      <c r="M217" s="64">
        <v>723076</v>
      </c>
      <c r="N217" s="68">
        <v>41087</v>
      </c>
      <c r="O217" s="68">
        <v>41087</v>
      </c>
    </row>
    <row r="218" spans="1:15">
      <c r="A218" s="65">
        <v>2012</v>
      </c>
      <c r="B218" s="66" t="s">
        <v>169</v>
      </c>
      <c r="C218" s="66" t="s">
        <v>170</v>
      </c>
      <c r="D218" s="67">
        <v>1015042</v>
      </c>
      <c r="E218" s="67">
        <v>2</v>
      </c>
      <c r="F218" s="67"/>
      <c r="G218" s="67">
        <v>47</v>
      </c>
      <c r="H218" s="67" t="s">
        <v>147</v>
      </c>
      <c r="I218" s="67" t="s">
        <v>186</v>
      </c>
      <c r="J218" s="67" t="s">
        <v>76</v>
      </c>
      <c r="K218" s="67" t="b">
        <v>0</v>
      </c>
      <c r="L218" s="63">
        <v>2017</v>
      </c>
      <c r="M218" s="64">
        <v>905</v>
      </c>
      <c r="N218" s="68">
        <v>41087</v>
      </c>
      <c r="O218" s="68">
        <v>41087</v>
      </c>
    </row>
    <row r="219" spans="1:15">
      <c r="A219" s="65">
        <v>2012</v>
      </c>
      <c r="B219" s="66" t="s">
        <v>169</v>
      </c>
      <c r="C219" s="66" t="s">
        <v>170</v>
      </c>
      <c r="D219" s="67">
        <v>1015042</v>
      </c>
      <c r="E219" s="67">
        <v>2</v>
      </c>
      <c r="F219" s="67"/>
      <c r="G219" s="67">
        <v>40</v>
      </c>
      <c r="H219" s="67">
        <v>18</v>
      </c>
      <c r="I219" s="67" t="s">
        <v>178</v>
      </c>
      <c r="J219" s="67" t="s">
        <v>69</v>
      </c>
      <c r="K219" s="67" t="b">
        <v>0</v>
      </c>
      <c r="L219" s="63">
        <v>2017</v>
      </c>
      <c r="M219" s="64">
        <v>1.6899999999999998E-2</v>
      </c>
      <c r="N219" s="68">
        <v>41087</v>
      </c>
      <c r="O219" s="68">
        <v>41087</v>
      </c>
    </row>
    <row r="220" spans="1:15">
      <c r="A220" s="65">
        <v>2012</v>
      </c>
      <c r="B220" s="66" t="s">
        <v>169</v>
      </c>
      <c r="C220" s="66" t="s">
        <v>170</v>
      </c>
      <c r="D220" s="67">
        <v>1015042</v>
      </c>
      <c r="E220" s="67">
        <v>2</v>
      </c>
      <c r="F220" s="67"/>
      <c r="G220" s="67">
        <v>8</v>
      </c>
      <c r="H220" s="67" t="s">
        <v>104</v>
      </c>
      <c r="I220" s="67"/>
      <c r="J220" s="67" t="s">
        <v>105</v>
      </c>
      <c r="K220" s="67" t="b">
        <v>0</v>
      </c>
      <c r="L220" s="63">
        <v>2015</v>
      </c>
      <c r="M220" s="64">
        <v>3374008</v>
      </c>
      <c r="N220" s="68">
        <v>41087</v>
      </c>
      <c r="O220" s="68">
        <v>41087</v>
      </c>
    </row>
    <row r="221" spans="1:15">
      <c r="A221" s="65">
        <v>2012</v>
      </c>
      <c r="B221" s="66" t="s">
        <v>169</v>
      </c>
      <c r="C221" s="66" t="s">
        <v>170</v>
      </c>
      <c r="D221" s="67">
        <v>1015042</v>
      </c>
      <c r="E221" s="67">
        <v>2</v>
      </c>
      <c r="F221" s="67"/>
      <c r="G221" s="67">
        <v>52</v>
      </c>
      <c r="H221" s="67">
        <v>25</v>
      </c>
      <c r="I221" s="67" t="s">
        <v>185</v>
      </c>
      <c r="J221" s="67" t="s">
        <v>49</v>
      </c>
      <c r="K221" s="67" t="b">
        <v>1</v>
      </c>
      <c r="L221" s="63">
        <v>2016</v>
      </c>
      <c r="M221" s="64">
        <v>1136157</v>
      </c>
      <c r="N221" s="68">
        <v>41087</v>
      </c>
      <c r="O221" s="68">
        <v>41087</v>
      </c>
    </row>
    <row r="222" spans="1:15">
      <c r="A222" s="65">
        <v>2012</v>
      </c>
      <c r="B222" s="66" t="s">
        <v>169</v>
      </c>
      <c r="C222" s="66" t="s">
        <v>170</v>
      </c>
      <c r="D222" s="67">
        <v>1015042</v>
      </c>
      <c r="E222" s="67">
        <v>2</v>
      </c>
      <c r="F222" s="67"/>
      <c r="G222" s="67">
        <v>43</v>
      </c>
      <c r="H222" s="67" t="s">
        <v>144</v>
      </c>
      <c r="I222" s="67" t="s">
        <v>171</v>
      </c>
      <c r="J222" s="67" t="s">
        <v>74</v>
      </c>
      <c r="K222" s="67" t="b">
        <v>0</v>
      </c>
      <c r="L222" s="63">
        <v>2018</v>
      </c>
      <c r="M222" s="64">
        <v>1.6899999999999998E-2</v>
      </c>
      <c r="N222" s="68">
        <v>41087</v>
      </c>
      <c r="O222" s="68">
        <v>41087</v>
      </c>
    </row>
    <row r="223" spans="1:15">
      <c r="A223" s="65">
        <v>2012</v>
      </c>
      <c r="B223" s="66" t="s">
        <v>169</v>
      </c>
      <c r="C223" s="66" t="s">
        <v>170</v>
      </c>
      <c r="D223" s="67">
        <v>1015042</v>
      </c>
      <c r="E223" s="67">
        <v>2</v>
      </c>
      <c r="F223" s="67"/>
      <c r="G223" s="67">
        <v>52</v>
      </c>
      <c r="H223" s="67">
        <v>25</v>
      </c>
      <c r="I223" s="67" t="s">
        <v>185</v>
      </c>
      <c r="J223" s="67" t="s">
        <v>49</v>
      </c>
      <c r="K223" s="67" t="b">
        <v>1</v>
      </c>
      <c r="L223" s="63">
        <v>2017</v>
      </c>
      <c r="M223" s="64">
        <v>1152153</v>
      </c>
      <c r="N223" s="68">
        <v>41087</v>
      </c>
      <c r="O223" s="68">
        <v>41087</v>
      </c>
    </row>
    <row r="224" spans="1:15">
      <c r="A224" s="65">
        <v>2012</v>
      </c>
      <c r="B224" s="66" t="s">
        <v>169</v>
      </c>
      <c r="C224" s="66" t="s">
        <v>170</v>
      </c>
      <c r="D224" s="67">
        <v>1015042</v>
      </c>
      <c r="E224" s="67">
        <v>2</v>
      </c>
      <c r="F224" s="67"/>
      <c r="G224" s="67">
        <v>51</v>
      </c>
      <c r="H224" s="67">
        <v>24</v>
      </c>
      <c r="I224" s="67" t="s">
        <v>184</v>
      </c>
      <c r="J224" s="67" t="s">
        <v>150</v>
      </c>
      <c r="K224" s="67" t="b">
        <v>1</v>
      </c>
      <c r="L224" s="63">
        <v>2016</v>
      </c>
      <c r="M224" s="64">
        <v>7475375</v>
      </c>
      <c r="N224" s="68">
        <v>41087</v>
      </c>
      <c r="O224" s="68">
        <v>41087</v>
      </c>
    </row>
    <row r="225" spans="1:15">
      <c r="A225" s="65">
        <v>2012</v>
      </c>
      <c r="B225" s="66" t="s">
        <v>169</v>
      </c>
      <c r="C225" s="66" t="s">
        <v>170</v>
      </c>
      <c r="D225" s="67">
        <v>1015042</v>
      </c>
      <c r="E225" s="67">
        <v>2</v>
      </c>
      <c r="F225" s="67"/>
      <c r="G225" s="67">
        <v>48</v>
      </c>
      <c r="H225" s="67">
        <v>22</v>
      </c>
      <c r="I225" s="67" t="s">
        <v>193</v>
      </c>
      <c r="J225" s="67" t="s">
        <v>77</v>
      </c>
      <c r="K225" s="67" t="b">
        <v>0</v>
      </c>
      <c r="L225" s="63">
        <v>2018</v>
      </c>
      <c r="M225" s="64">
        <v>1.6899999999999998E-2</v>
      </c>
      <c r="N225" s="68">
        <v>41087</v>
      </c>
      <c r="O225" s="68">
        <v>41087</v>
      </c>
    </row>
    <row r="226" spans="1:15">
      <c r="A226" s="65">
        <v>2012</v>
      </c>
      <c r="B226" s="66" t="s">
        <v>169</v>
      </c>
      <c r="C226" s="66" t="s">
        <v>170</v>
      </c>
      <c r="D226" s="67">
        <v>1015042</v>
      </c>
      <c r="E226" s="67">
        <v>2</v>
      </c>
      <c r="F226" s="67"/>
      <c r="G226" s="67">
        <v>30</v>
      </c>
      <c r="H226" s="67">
        <v>11</v>
      </c>
      <c r="I226" s="67"/>
      <c r="J226" s="67" t="s">
        <v>62</v>
      </c>
      <c r="K226" s="67" t="b">
        <v>1</v>
      </c>
      <c r="L226" s="63">
        <v>2013</v>
      </c>
      <c r="M226" s="64">
        <v>460000</v>
      </c>
      <c r="N226" s="68">
        <v>41087</v>
      </c>
      <c r="O226" s="68">
        <v>41087</v>
      </c>
    </row>
    <row r="227" spans="1:15">
      <c r="A227" s="65">
        <v>2012</v>
      </c>
      <c r="B227" s="66" t="s">
        <v>169</v>
      </c>
      <c r="C227" s="66" t="s">
        <v>170</v>
      </c>
      <c r="D227" s="67">
        <v>1015042</v>
      </c>
      <c r="E227" s="67">
        <v>2</v>
      </c>
      <c r="F227" s="67"/>
      <c r="G227" s="67">
        <v>57</v>
      </c>
      <c r="H227" s="67">
        <v>30</v>
      </c>
      <c r="I227" s="67" t="s">
        <v>173</v>
      </c>
      <c r="J227" s="67" t="s">
        <v>153</v>
      </c>
      <c r="K227" s="67" t="b">
        <v>0</v>
      </c>
      <c r="L227" s="63">
        <v>2018</v>
      </c>
      <c r="M227" s="64">
        <v>148818</v>
      </c>
      <c r="N227" s="68">
        <v>41087</v>
      </c>
      <c r="O227" s="68">
        <v>41087</v>
      </c>
    </row>
    <row r="228" spans="1:15">
      <c r="A228" s="65">
        <v>2012</v>
      </c>
      <c r="B228" s="66" t="s">
        <v>169</v>
      </c>
      <c r="C228" s="66" t="s">
        <v>170</v>
      </c>
      <c r="D228" s="67">
        <v>1015042</v>
      </c>
      <c r="E228" s="67">
        <v>2</v>
      </c>
      <c r="F228" s="67"/>
      <c r="G228" s="67">
        <v>44</v>
      </c>
      <c r="H228" s="67">
        <v>20</v>
      </c>
      <c r="I228" s="67" t="s">
        <v>181</v>
      </c>
      <c r="J228" s="67" t="s">
        <v>145</v>
      </c>
      <c r="K228" s="67" t="b">
        <v>1</v>
      </c>
      <c r="L228" s="63">
        <v>2017</v>
      </c>
      <c r="M228" s="64">
        <v>0.1305</v>
      </c>
      <c r="N228" s="68">
        <v>41087</v>
      </c>
      <c r="O228" s="68">
        <v>41087</v>
      </c>
    </row>
    <row r="229" spans="1:15">
      <c r="A229" s="65">
        <v>2012</v>
      </c>
      <c r="B229" s="66" t="s">
        <v>169</v>
      </c>
      <c r="C229" s="66" t="s">
        <v>170</v>
      </c>
      <c r="D229" s="67">
        <v>1015042</v>
      </c>
      <c r="E229" s="67">
        <v>2</v>
      </c>
      <c r="F229" s="67"/>
      <c r="G229" s="67">
        <v>21</v>
      </c>
      <c r="H229" s="67" t="s">
        <v>122</v>
      </c>
      <c r="I229" s="67"/>
      <c r="J229" s="67" t="s">
        <v>123</v>
      </c>
      <c r="K229" s="67" t="b">
        <v>1</v>
      </c>
      <c r="L229" s="63">
        <v>2012</v>
      </c>
      <c r="M229" s="64">
        <v>657094</v>
      </c>
      <c r="N229" s="68">
        <v>41087</v>
      </c>
      <c r="O229" s="68">
        <v>41087</v>
      </c>
    </row>
    <row r="230" spans="1:15">
      <c r="A230" s="65">
        <v>2012</v>
      </c>
      <c r="B230" s="66" t="s">
        <v>169</v>
      </c>
      <c r="C230" s="66" t="s">
        <v>170</v>
      </c>
      <c r="D230" s="67">
        <v>1015042</v>
      </c>
      <c r="E230" s="67">
        <v>2</v>
      </c>
      <c r="F230" s="67"/>
      <c r="G230" s="67">
        <v>23</v>
      </c>
      <c r="H230" s="67" t="s">
        <v>126</v>
      </c>
      <c r="I230" s="67"/>
      <c r="J230" s="67" t="s">
        <v>127</v>
      </c>
      <c r="K230" s="67" t="b">
        <v>1</v>
      </c>
      <c r="L230" s="63">
        <v>2013</v>
      </c>
      <c r="M230" s="64">
        <v>93850</v>
      </c>
      <c r="N230" s="68">
        <v>41087</v>
      </c>
      <c r="O230" s="68">
        <v>41087</v>
      </c>
    </row>
    <row r="231" spans="1:15">
      <c r="A231" s="65">
        <v>2012</v>
      </c>
      <c r="B231" s="66" t="s">
        <v>169</v>
      </c>
      <c r="C231" s="66" t="s">
        <v>170</v>
      </c>
      <c r="D231" s="67">
        <v>1015042</v>
      </c>
      <c r="E231" s="67">
        <v>2</v>
      </c>
      <c r="F231" s="67"/>
      <c r="G231" s="67">
        <v>1</v>
      </c>
      <c r="H231" s="67">
        <v>1</v>
      </c>
      <c r="I231" s="67" t="s">
        <v>183</v>
      </c>
      <c r="J231" s="67" t="s">
        <v>93</v>
      </c>
      <c r="K231" s="67" t="b">
        <v>1</v>
      </c>
      <c r="L231" s="63">
        <v>2014</v>
      </c>
      <c r="M231" s="64">
        <v>8252557</v>
      </c>
      <c r="N231" s="68">
        <v>41087</v>
      </c>
      <c r="O231" s="68">
        <v>41087</v>
      </c>
    </row>
    <row r="232" spans="1:15">
      <c r="A232" s="65">
        <v>2012</v>
      </c>
      <c r="B232" s="66" t="s">
        <v>169</v>
      </c>
      <c r="C232" s="66" t="s">
        <v>170</v>
      </c>
      <c r="D232" s="67">
        <v>1015042</v>
      </c>
      <c r="E232" s="67">
        <v>2</v>
      </c>
      <c r="F232" s="67"/>
      <c r="G232" s="67">
        <v>37</v>
      </c>
      <c r="H232" s="67">
        <v>16</v>
      </c>
      <c r="I232" s="67"/>
      <c r="J232" s="67" t="s">
        <v>140</v>
      </c>
      <c r="K232" s="67" t="b">
        <v>1</v>
      </c>
      <c r="L232" s="63">
        <v>2017</v>
      </c>
      <c r="M232" s="64">
        <v>379678</v>
      </c>
      <c r="N232" s="68">
        <v>41087</v>
      </c>
      <c r="O232" s="68">
        <v>41087</v>
      </c>
    </row>
    <row r="233" spans="1:15">
      <c r="A233" s="65">
        <v>2012</v>
      </c>
      <c r="B233" s="66" t="s">
        <v>169</v>
      </c>
      <c r="C233" s="66" t="s">
        <v>170</v>
      </c>
      <c r="D233" s="67">
        <v>1015042</v>
      </c>
      <c r="E233" s="67">
        <v>2</v>
      </c>
      <c r="F233" s="67"/>
      <c r="G233" s="67">
        <v>48</v>
      </c>
      <c r="H233" s="67">
        <v>22</v>
      </c>
      <c r="I233" s="67" t="s">
        <v>193</v>
      </c>
      <c r="J233" s="67" t="s">
        <v>77</v>
      </c>
      <c r="K233" s="67" t="b">
        <v>0</v>
      </c>
      <c r="L233" s="63">
        <v>2013</v>
      </c>
      <c r="M233" s="64">
        <v>5.2999999999999999E-2</v>
      </c>
      <c r="N233" s="68">
        <v>41087</v>
      </c>
      <c r="O233" s="68">
        <v>41087</v>
      </c>
    </row>
    <row r="234" spans="1:15">
      <c r="A234" s="65">
        <v>2012</v>
      </c>
      <c r="B234" s="66" t="s">
        <v>169</v>
      </c>
      <c r="C234" s="66" t="s">
        <v>170</v>
      </c>
      <c r="D234" s="67">
        <v>1015042</v>
      </c>
      <c r="E234" s="67">
        <v>2</v>
      </c>
      <c r="F234" s="67"/>
      <c r="G234" s="67">
        <v>55</v>
      </c>
      <c r="H234" s="67">
        <v>28</v>
      </c>
      <c r="I234" s="67" t="s">
        <v>176</v>
      </c>
      <c r="J234" s="67" t="s">
        <v>48</v>
      </c>
      <c r="K234" s="67" t="b">
        <v>0</v>
      </c>
      <c r="L234" s="63">
        <v>2015</v>
      </c>
      <c r="M234" s="64">
        <v>396751</v>
      </c>
      <c r="N234" s="68">
        <v>41087</v>
      </c>
      <c r="O234" s="68">
        <v>41087</v>
      </c>
    </row>
    <row r="235" spans="1:15">
      <c r="A235" s="65">
        <v>2012</v>
      </c>
      <c r="B235" s="66" t="s">
        <v>169</v>
      </c>
      <c r="C235" s="66" t="s">
        <v>170</v>
      </c>
      <c r="D235" s="67">
        <v>1015042</v>
      </c>
      <c r="E235" s="67">
        <v>2</v>
      </c>
      <c r="F235" s="67"/>
      <c r="G235" s="67">
        <v>51</v>
      </c>
      <c r="H235" s="67">
        <v>24</v>
      </c>
      <c r="I235" s="67" t="s">
        <v>184</v>
      </c>
      <c r="J235" s="67" t="s">
        <v>150</v>
      </c>
      <c r="K235" s="67" t="b">
        <v>1</v>
      </c>
      <c r="L235" s="63">
        <v>2014</v>
      </c>
      <c r="M235" s="64">
        <v>7052346</v>
      </c>
      <c r="N235" s="68">
        <v>41087</v>
      </c>
      <c r="O235" s="68">
        <v>41087</v>
      </c>
    </row>
    <row r="236" spans="1:15">
      <c r="A236" s="65">
        <v>2012</v>
      </c>
      <c r="B236" s="66" t="s">
        <v>169</v>
      </c>
      <c r="C236" s="66" t="s">
        <v>170</v>
      </c>
      <c r="D236" s="67">
        <v>1015042</v>
      </c>
      <c r="E236" s="67">
        <v>2</v>
      </c>
      <c r="F236" s="67"/>
      <c r="G236" s="67">
        <v>21</v>
      </c>
      <c r="H236" s="67" t="s">
        <v>122</v>
      </c>
      <c r="I236" s="67"/>
      <c r="J236" s="67" t="s">
        <v>123</v>
      </c>
      <c r="K236" s="67" t="b">
        <v>1</v>
      </c>
      <c r="L236" s="63">
        <v>2016</v>
      </c>
      <c r="M236" s="64">
        <v>396751</v>
      </c>
      <c r="N236" s="68">
        <v>41087</v>
      </c>
      <c r="O236" s="68">
        <v>41087</v>
      </c>
    </row>
    <row r="237" spans="1:15">
      <c r="A237" s="65">
        <v>2012</v>
      </c>
      <c r="B237" s="66" t="s">
        <v>169</v>
      </c>
      <c r="C237" s="66" t="s">
        <v>170</v>
      </c>
      <c r="D237" s="67">
        <v>1015042</v>
      </c>
      <c r="E237" s="67">
        <v>2</v>
      </c>
      <c r="F237" s="67"/>
      <c r="G237" s="67">
        <v>43</v>
      </c>
      <c r="H237" s="67" t="s">
        <v>144</v>
      </c>
      <c r="I237" s="67" t="s">
        <v>171</v>
      </c>
      <c r="J237" s="67" t="s">
        <v>74</v>
      </c>
      <c r="K237" s="67" t="b">
        <v>0</v>
      </c>
      <c r="L237" s="63">
        <v>2014</v>
      </c>
      <c r="M237" s="64">
        <v>6.9500000000000006E-2</v>
      </c>
      <c r="N237" s="68">
        <v>41087</v>
      </c>
      <c r="O237" s="68">
        <v>41087</v>
      </c>
    </row>
    <row r="238" spans="1:15">
      <c r="A238" s="65">
        <v>2012</v>
      </c>
      <c r="B238" s="66" t="s">
        <v>169</v>
      </c>
      <c r="C238" s="66" t="s">
        <v>170</v>
      </c>
      <c r="D238" s="67">
        <v>1015042</v>
      </c>
      <c r="E238" s="67">
        <v>2</v>
      </c>
      <c r="F238" s="67"/>
      <c r="G238" s="67">
        <v>23</v>
      </c>
      <c r="H238" s="67" t="s">
        <v>126</v>
      </c>
      <c r="I238" s="67"/>
      <c r="J238" s="67" t="s">
        <v>127</v>
      </c>
      <c r="K238" s="67" t="b">
        <v>1</v>
      </c>
      <c r="L238" s="63">
        <v>2014</v>
      </c>
      <c r="M238" s="64">
        <v>100575</v>
      </c>
      <c r="N238" s="68">
        <v>41087</v>
      </c>
      <c r="O238" s="68">
        <v>41087</v>
      </c>
    </row>
    <row r="239" spans="1:15">
      <c r="A239" s="65">
        <v>2012</v>
      </c>
      <c r="B239" s="66" t="s">
        <v>169</v>
      </c>
      <c r="C239" s="66" t="s">
        <v>170</v>
      </c>
      <c r="D239" s="67">
        <v>1015042</v>
      </c>
      <c r="E239" s="67">
        <v>2</v>
      </c>
      <c r="F239" s="67"/>
      <c r="G239" s="67">
        <v>21</v>
      </c>
      <c r="H239" s="67" t="s">
        <v>122</v>
      </c>
      <c r="I239" s="67"/>
      <c r="J239" s="67" t="s">
        <v>123</v>
      </c>
      <c r="K239" s="67" t="b">
        <v>1</v>
      </c>
      <c r="L239" s="63">
        <v>2015</v>
      </c>
      <c r="M239" s="64">
        <v>396751</v>
      </c>
      <c r="N239" s="68">
        <v>41087</v>
      </c>
      <c r="O239" s="68">
        <v>41087</v>
      </c>
    </row>
    <row r="240" spans="1:15">
      <c r="A240" s="65">
        <v>2012</v>
      </c>
      <c r="B240" s="66" t="s">
        <v>169</v>
      </c>
      <c r="C240" s="66" t="s">
        <v>170</v>
      </c>
      <c r="D240" s="67">
        <v>1015042</v>
      </c>
      <c r="E240" s="67">
        <v>2</v>
      </c>
      <c r="F240" s="67"/>
      <c r="G240" s="67">
        <v>46</v>
      </c>
      <c r="H240" s="67">
        <v>21</v>
      </c>
      <c r="I240" s="67" t="s">
        <v>190</v>
      </c>
      <c r="J240" s="67" t="s">
        <v>54</v>
      </c>
      <c r="K240" s="67" t="b">
        <v>1</v>
      </c>
      <c r="L240" s="63">
        <v>2017</v>
      </c>
      <c r="M240" s="64">
        <v>4.6399999999999997E-2</v>
      </c>
      <c r="N240" s="68">
        <v>41087</v>
      </c>
      <c r="O240" s="68">
        <v>41087</v>
      </c>
    </row>
    <row r="241" spans="1:15">
      <c r="A241" s="65">
        <v>2012</v>
      </c>
      <c r="B241" s="66" t="s">
        <v>169</v>
      </c>
      <c r="C241" s="66" t="s">
        <v>170</v>
      </c>
      <c r="D241" s="67">
        <v>1015042</v>
      </c>
      <c r="E241" s="67">
        <v>2</v>
      </c>
      <c r="F241" s="67"/>
      <c r="G241" s="67">
        <v>5</v>
      </c>
      <c r="H241" s="67" t="s">
        <v>100</v>
      </c>
      <c r="I241" s="67"/>
      <c r="J241" s="67" t="s">
        <v>101</v>
      </c>
      <c r="K241" s="67" t="b">
        <v>1</v>
      </c>
      <c r="L241" s="63">
        <v>2013</v>
      </c>
      <c r="M241" s="64">
        <v>80000</v>
      </c>
      <c r="N241" s="68">
        <v>41087</v>
      </c>
      <c r="O241" s="68">
        <v>41087</v>
      </c>
    </row>
    <row r="242" spans="1:15">
      <c r="A242" s="65">
        <v>2012</v>
      </c>
      <c r="B242" s="66" t="s">
        <v>169</v>
      </c>
      <c r="C242" s="66" t="s">
        <v>170</v>
      </c>
      <c r="D242" s="67">
        <v>1015042</v>
      </c>
      <c r="E242" s="67">
        <v>2</v>
      </c>
      <c r="F242" s="67"/>
      <c r="G242" s="67">
        <v>48</v>
      </c>
      <c r="H242" s="67">
        <v>22</v>
      </c>
      <c r="I242" s="67" t="s">
        <v>193</v>
      </c>
      <c r="J242" s="67" t="s">
        <v>77</v>
      </c>
      <c r="K242" s="67" t="b">
        <v>0</v>
      </c>
      <c r="L242" s="63">
        <v>2012</v>
      </c>
      <c r="M242" s="64">
        <v>4.7899999999999998E-2</v>
      </c>
      <c r="N242" s="68">
        <v>41087</v>
      </c>
      <c r="O242" s="68">
        <v>41087</v>
      </c>
    </row>
    <row r="243" spans="1:15">
      <c r="A243" s="65">
        <v>2012</v>
      </c>
      <c r="B243" s="66" t="s">
        <v>169</v>
      </c>
      <c r="C243" s="66" t="s">
        <v>170</v>
      </c>
      <c r="D243" s="67">
        <v>1015042</v>
      </c>
      <c r="E243" s="67">
        <v>2</v>
      </c>
      <c r="F243" s="67"/>
      <c r="G243" s="67">
        <v>42</v>
      </c>
      <c r="H243" s="67">
        <v>19</v>
      </c>
      <c r="I243" s="67" t="s">
        <v>182</v>
      </c>
      <c r="J243" s="67" t="s">
        <v>72</v>
      </c>
      <c r="K243" s="67" t="b">
        <v>1</v>
      </c>
      <c r="L243" s="63">
        <v>2012</v>
      </c>
      <c r="M243" s="64">
        <v>7.9000000000000001E-2</v>
      </c>
      <c r="N243" s="68">
        <v>41087</v>
      </c>
      <c r="O243" s="68">
        <v>41087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Zal_1_WPF_uklad_budzetu</vt:lpstr>
      <vt:lpstr>Zal_1_WPF_wg_przeplywow</vt:lpstr>
      <vt:lpstr>definicja</vt:lpstr>
      <vt:lpstr>DaneZrodlowe</vt:lpstr>
      <vt:lpstr>Zal_1_WPF_wg_przeplywow!Obszar_wydruku</vt:lpstr>
      <vt:lpstr>Zal_1_WPF_uklad_budzetu!Tytuły_wydruku</vt:lpstr>
      <vt:lpstr>Zal_1_WPF_wg_przeplywow!Tytuły_wydruku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Heleniak Beata</cp:lastModifiedBy>
  <cp:lastPrinted>2012-08-28T07:57:42Z</cp:lastPrinted>
  <dcterms:created xsi:type="dcterms:W3CDTF">2010-09-17T02:30:46Z</dcterms:created>
  <dcterms:modified xsi:type="dcterms:W3CDTF">2012-09-19T07:14:01Z</dcterms:modified>
</cp:coreProperties>
</file>